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6.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16.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916"/>
  <workbookPr date1904="1" updateLinks="always" codeName="Denne_projektmappe" autoCompressPictures="0" defaultThemeVersion="124226"/>
  <mc:AlternateContent xmlns:mc="http://schemas.openxmlformats.org/markup-compatibility/2006">
    <mc:Choice Requires="x15">
      <x15ac:absPath xmlns:x15ac="http://schemas.microsoft.com/office/spreadsheetml/2010/11/ac" url="/Users/tove/Documents/Kurser/Budgetkursus/2026/"/>
    </mc:Choice>
  </mc:AlternateContent>
  <xr:revisionPtr revIDLastSave="0" documentId="13_ncr:1_{70491534-1808-BB42-B514-1AE1DDBDC25E}" xr6:coauthVersionLast="47" xr6:coauthVersionMax="47" xr10:uidLastSave="{00000000-0000-0000-0000-000000000000}"/>
  <bookViews>
    <workbookView xWindow="0" yWindow="500" windowWidth="28800" windowHeight="17500" tabRatio="705" firstSheet="4" activeTab="4" xr2:uid="{00000000-000D-0000-FFFF-FFFF00000000}"/>
  </bookViews>
  <sheets>
    <sheet name="Kvikvejledning" sheetId="62" r:id="rId1"/>
    <sheet name="Ændringer i dette budget" sheetId="65" r:id="rId2"/>
    <sheet name="Gode råd til check" sheetId="64" r:id="rId3"/>
    <sheet name="SatsBilag" sheetId="55" r:id="rId4"/>
    <sheet name="Forside" sheetId="1" r:id="rId5"/>
    <sheet name="Hovedskema" sheetId="5" r:id="rId6"/>
    <sheet name="Aarsnorm" sheetId="56" state="hidden" r:id="rId7"/>
    <sheet name="Statstilskud" sheetId="8" r:id="rId8"/>
    <sheet name="Skolepenge, pasningsordning." sheetId="12" r:id="rId9"/>
    <sheet name="lon undervisning" sheetId="51" r:id="rId10"/>
    <sheet name="Lon pæd., TAP mm" sheetId="52" r:id="rId11"/>
    <sheet name="Undervisning-SFO udgifter" sheetId="20" r:id="rId12"/>
    <sheet name="Heltids SFO" sheetId="63" r:id="rId13"/>
    <sheet name="Daginstitution" sheetId="36" r:id="rId14"/>
    <sheet name="Ejendom" sheetId="24" r:id="rId15"/>
    <sheet name="Skolemadsordning" sheetId="23" r:id="rId16"/>
    <sheet name="Administration" sheetId="32" r:id="rId17"/>
    <sheet name="Prio-renter" sheetId="28" r:id="rId18"/>
    <sheet name="Resultat " sheetId="2" state="hidden" r:id="rId19"/>
    <sheet name="Grundlon" sheetId="53" r:id="rId20"/>
    <sheet name="Prognose" sheetId="3" r:id="rId21"/>
    <sheet name="Ark1" sheetId="59" r:id="rId22"/>
    <sheet name="H2.Aktuel år" sheetId="47" state="hidden" r:id="rId23"/>
    <sheet name="Ark2" sheetId="60" r:id="rId24"/>
    <sheet name="Ark3" sheetId="61" r:id="rId25"/>
  </sheets>
  <definedNames>
    <definedName name="_SFO1" localSheetId="19">#REF!</definedName>
    <definedName name="_Udskriftsområde" localSheetId="10">'Lon pæd., TAP mm'!$A$6:$CB$46</definedName>
    <definedName name="_Udskriftsområde" localSheetId="9">'lon undervisning'!$A$4:$AE$53</definedName>
    <definedName name="AER" localSheetId="19">#REF!</definedName>
    <definedName name="AER">SatsBilag!$B$28</definedName>
    <definedName name="AER_1">SatsBilag!$C$28</definedName>
    <definedName name="arbtidsnorm" localSheetId="19">#REF!</definedName>
    <definedName name="ATP" localSheetId="19">#REF!</definedName>
    <definedName name="ATP">SatsBilag!$B$13</definedName>
    <definedName name="ATP_1">SatsBilag!$C$13</definedName>
    <definedName name="ATP_A" localSheetId="19">#REF!</definedName>
    <definedName name="ATP_B" localSheetId="19">#REF!</definedName>
    <definedName name="Barsel" localSheetId="19">#REF!</definedName>
    <definedName name="BarselBidr">SatsBilag!$B$30</definedName>
    <definedName name="BarselBidr_1">SatsBilag!$C$30</definedName>
    <definedName name="basistabel">Grundlon!$A$63:$G$70</definedName>
    <definedName name="basistabel12">#REF!</definedName>
    <definedName name="budgetår" localSheetId="19">#REF!</definedName>
    <definedName name="budgetår">Forside!$B$6</definedName>
    <definedName name="Bygtilsk">SatsBilag!$B$25</definedName>
    <definedName name="Bygtilsk_1">SatsBilag!$C$25</definedName>
    <definedName name="Bygtilskud" localSheetId="19">#REF!</definedName>
    <definedName name="Bygtilskud01" localSheetId="19">#REF!</definedName>
    <definedName name="bygtilskud1" localSheetId="19">#REF!</definedName>
    <definedName name="bytom" localSheetId="19">Grundlon!bytom</definedName>
    <definedName name="bytom">#REF!</definedName>
    <definedName name="bytom_12" localSheetId="19">Grundlon!bytom_12</definedName>
    <definedName name="bytom_14" localSheetId="19">Grundlon!bytom_14</definedName>
    <definedName name="bytom_35" localSheetId="19">Grundlon!bytom_35</definedName>
    <definedName name="Da2sprTax">SatsBilag!$B$49</definedName>
    <definedName name="Da2sprTax_1">SatsBilag!$C$49</definedName>
    <definedName name="Da2uvaa1" localSheetId="19">#REF!</definedName>
    <definedName name="Da2uvaa2" localSheetId="19">#REF!</definedName>
    <definedName name="DFkont" localSheetId="19">#REF!</definedName>
    <definedName name="DFkont">SatsBilag!$B$31</definedName>
    <definedName name="DFkont_1">SatsBilag!$C$31</definedName>
    <definedName name="DFRegnÅr" localSheetId="19">#REF!</definedName>
    <definedName name="elev0o" localSheetId="19">#REF!</definedName>
    <definedName name="elev0u" localSheetId="19">#REF!</definedName>
    <definedName name="elev1001" localSheetId="19">#REF!</definedName>
    <definedName name="elev1001feb" localSheetId="19">#REF!</definedName>
    <definedName name="elev101" localSheetId="19">#REF!</definedName>
    <definedName name="elev101feb" localSheetId="19">#REF!</definedName>
    <definedName name="elev102" localSheetId="19">#REF!</definedName>
    <definedName name="elev10kl">Forside!$F$34</definedName>
    <definedName name="elev10kl_1">Forside!$E$34</definedName>
    <definedName name="elev10kl_2">Forside!$G$34</definedName>
    <definedName name="elev10klfeb">Forside!$F$35</definedName>
    <definedName name="elev10klfeb_1">Forside!$E$35</definedName>
    <definedName name="elev10klfeb_2">Forside!$G$35</definedName>
    <definedName name="elev1o" localSheetId="19">#REF!</definedName>
    <definedName name="elev1u" localSheetId="19">#REF!</definedName>
    <definedName name="elev2o" localSheetId="19">#REF!</definedName>
    <definedName name="elev2u" localSheetId="19">#REF!</definedName>
    <definedName name="elevo13">Forside!$F$33</definedName>
    <definedName name="elevo13_1">Forside!$E$33</definedName>
    <definedName name="elevo13_2">Forside!$G$33</definedName>
    <definedName name="ELEVPROGNOSE">Forside!$C$16</definedName>
    <definedName name="Elevtal">Forside!$F$31</definedName>
    <definedName name="elevtal_1">Forside!$E$31</definedName>
    <definedName name="elevtal_2">Forside!$G$31</definedName>
    <definedName name="elevtal01" localSheetId="19">#REF!</definedName>
    <definedName name="elevtal1" localSheetId="19">#REF!</definedName>
    <definedName name="elevtal2" localSheetId="19">#REF!</definedName>
    <definedName name="elevtal3" localSheetId="19">#REF!</definedName>
    <definedName name="elevu13">Forside!$F$32</definedName>
    <definedName name="elevu13_1">Forside!$E$32</definedName>
    <definedName name="elevu13_2">Forside!$G$32</definedName>
    <definedName name="Export_file" localSheetId="19">Grundlon!$J$2:$L$273</definedName>
    <definedName name="FaeUdgSmaa">SatsBilag!$B$18</definedName>
    <definedName name="FaeUdgSmaa_1">SatsBilag!$C$18</definedName>
    <definedName name="FaeUdgStore">SatsBilag!$B$19</definedName>
    <definedName name="FaeUdgStore_1">SatsBilag!$C$19</definedName>
    <definedName name="flex00" localSheetId="19">#REF!</definedName>
    <definedName name="flex01" localSheetId="19">#REF!</definedName>
    <definedName name="FlexBidr">SatsBilag!$B$29</definedName>
    <definedName name="FlexBidr_1">SatsBilag!$C$29</definedName>
    <definedName name="FlydTill">SatsBilag!$B$24</definedName>
    <definedName name="FlydTill_1">SatsBilag!$C$24</definedName>
    <definedName name="fremskrivning" localSheetId="19">#REF!</definedName>
    <definedName name="fremskrivning">SatsBilag!$B$41</definedName>
    <definedName name="FremskrStatst">SatsBilag!$B$43</definedName>
    <definedName name="FremskrStatst_1">SatsBilag!$C$43</definedName>
    <definedName name="fridageGrå_40" localSheetId="19">Grundlon!fridageGrå_40</definedName>
    <definedName name="fridageGrå_41" localSheetId="19">Grundlon!fridageGrå_41</definedName>
    <definedName name="Ftakst1" localSheetId="19">#REF!</definedName>
    <definedName name="Ftakst2" localSheetId="19">#REF!</definedName>
    <definedName name="GLøn1" localSheetId="19">#REF!</definedName>
    <definedName name="GLøn2" localSheetId="19">#REF!</definedName>
    <definedName name="Gr.liv" localSheetId="19">#REF!</definedName>
    <definedName name="Gr.liv">SatsBilag!$B$15</definedName>
    <definedName name="Gr.liv_1">SatsBilag!$C$15</definedName>
    <definedName name="Gr.livAndre" localSheetId="19">#REF!</definedName>
    <definedName name="Gr.livAndre">SatsBilag!$B$16</definedName>
    <definedName name="Gr.livAndre_1">SatsBilag!$C$16</definedName>
    <definedName name="grundløn" localSheetId="19">#REF!</definedName>
    <definedName name="grundløn2" localSheetId="19">#REF!</definedName>
    <definedName name="GrundTilsk">SatsBilag!$B$17</definedName>
    <definedName name="Grundtilsk_1">SatsBilag!$C$17</definedName>
    <definedName name="gruppe">#REF!</definedName>
    <definedName name="InklGrund">SatsBilag!$B$23</definedName>
    <definedName name="InklGrund_1">SatsBilag!$C$23</definedName>
    <definedName name="InklPrElev">SatsBilag!#REF!</definedName>
    <definedName name="InklPrElev_1">SatsBilag!#REF!</definedName>
    <definedName name="inklusion">#REF!</definedName>
    <definedName name="Kaskrent" localSheetId="19">#REF!</definedName>
    <definedName name="kolonne">#REF!</definedName>
    <definedName name="Kost" localSheetId="19">#REF!</definedName>
    <definedName name="Kost1" localSheetId="19">#REF!</definedName>
    <definedName name="KostTilsk">SatsBilag!#REF!</definedName>
    <definedName name="Kosttilsk_1">SatsBilag!#REF!</definedName>
    <definedName name="lmdr">#REF!</definedName>
    <definedName name="Lønfremskivning">SatsBilag!$B$42</definedName>
    <definedName name="Lønregl" localSheetId="19">#REF!</definedName>
    <definedName name="mdr">#REF!</definedName>
    <definedName name="mellemsmå">Hovedskema!$D$107:$D$108</definedName>
    <definedName name="mellemstore">Hovedskema!$F$107:$G$108</definedName>
    <definedName name="omraadetabel">Grundlon!$A$75:$F$82</definedName>
    <definedName name="omraadetabel12">#REF!</definedName>
    <definedName name="opqsøg" hidden="1">{#N/A,#N/A,FALSE,"Månedsaktivitetsplan"}</definedName>
    <definedName name="opsøg" hidden="1">{#N/A,#N/A,FALSE,"Månedsaktivitetsplan"}</definedName>
    <definedName name="PaedMedhTax">SatsBilag!#REF!</definedName>
    <definedName name="PaedMedhTax_1">SatsBilag!#REF!</definedName>
    <definedName name="Paednorm" localSheetId="19">#REF!</definedName>
    <definedName name="Paedpens" localSheetId="19">#REF!</definedName>
    <definedName name="PrakMedhTax">SatsBilag!$B$50</definedName>
    <definedName name="PrakMedhTax_1">SatsBilag!$C$50</definedName>
    <definedName name="Praktiskmhjaa1" localSheetId="19">#REF!</definedName>
    <definedName name="Praktiskmhjaa2" localSheetId="19">#REF!</definedName>
    <definedName name="Prc">SatsBilag!$B$9</definedName>
    <definedName name="Prc_1">SatsBilag!$C$9</definedName>
    <definedName name="prctregl09" localSheetId="19">#REF!</definedName>
    <definedName name="prctregl10" localSheetId="19">#REF!</definedName>
    <definedName name="prctregl3" localSheetId="19">#REF!</definedName>
    <definedName name="prctregl4" localSheetId="19">#REF!</definedName>
    <definedName name="PrcAar">SatsBilag!$B$12</definedName>
    <definedName name="PrcAar_1">SatsBilag!$C$12</definedName>
    <definedName name="Procentregulering" localSheetId="19">#REF!</definedName>
    <definedName name="Procentregulering" hidden="1">#REF!</definedName>
    <definedName name="procentregulering2" localSheetId="19">#REF!</definedName>
    <definedName name="Procentreguleringapril" localSheetId="19">#REF!</definedName>
    <definedName name="region">Forside!$F$12</definedName>
    <definedName name="SFO" localSheetId="19">#REF!</definedName>
    <definedName name="SFOI" localSheetId="19">#REF!</definedName>
    <definedName name="SFOtilsk">SatsBilag!$B$26</definedName>
    <definedName name="SFOtilsk_1">SatsBilag!$C$26</definedName>
    <definedName name="skalalontabel">Grundlon!$A$4:$G$62</definedName>
    <definedName name="skole">Forside!$B$5</definedName>
    <definedName name="skoleår" localSheetId="19">#REF!</definedName>
    <definedName name="skoleår" localSheetId="3">Forside!$F$4</definedName>
    <definedName name="skoleår2" localSheetId="19">#REF!</definedName>
    <definedName name="skoleår2" localSheetId="3">Forside!$F$5</definedName>
    <definedName name="specuv" localSheetId="19">#REF!</definedName>
    <definedName name="SpecUvTax_1">SatsBilag!#REF!</definedName>
    <definedName name="Specuvaa1" localSheetId="19">#REF!</definedName>
    <definedName name="Specuvaa2" localSheetId="19">#REF!</definedName>
    <definedName name="SpevUvTax">SatsBilag!#REF!</definedName>
    <definedName name="Sprogstimul" localSheetId="19">#REF!</definedName>
    <definedName name="sprogstimul01" localSheetId="19">#REF!</definedName>
    <definedName name="sprogstimul1" localSheetId="19">#REF!</definedName>
    <definedName name="sprogstimul2" localSheetId="19">#REF!</definedName>
    <definedName name="Statstilskud" localSheetId="19">#REF!</definedName>
    <definedName name="StatstilskudBr" localSheetId="19">#REF!</definedName>
    <definedName name="sted">Grundlon!$J$2:$N$273</definedName>
    <definedName name="stedomr">Forside!#REF!</definedName>
    <definedName name="stedtillægsområde" localSheetId="19">#REF!</definedName>
    <definedName name="stedtillægsområde">Forside!#REF!</definedName>
    <definedName name="stpaedaa1" localSheetId="19">#REF!</definedName>
    <definedName name="stpaedaa2" localSheetId="19">#REF!</definedName>
    <definedName name="str">#REF!</definedName>
    <definedName name="tabel">#REF!</definedName>
    <definedName name="Tilsyn1">SatsBilag!$B$37</definedName>
    <definedName name="Tilsyn2">SatsBilag!$B$38</definedName>
    <definedName name="Tilsyn3">SatsBilag!$B$39</definedName>
    <definedName name="Tilsyn4">SatsBilag!$B$40</definedName>
    <definedName name="U.l" localSheetId="19">#REF!</definedName>
    <definedName name="_xlnm.Print_Area" localSheetId="14">Ejendom!$A$1:$I$98</definedName>
    <definedName name="_xlnm.Print_Area" localSheetId="4">Forside!$B$2:$G$39</definedName>
    <definedName name="_xlnm.Print_Area" localSheetId="22">'H2.Aktuel år'!$A$2:$I$61</definedName>
    <definedName name="_xlnm.Print_Area" localSheetId="5">Hovedskema!$A$1:$H$133</definedName>
    <definedName name="_xlnm.Print_Area" localSheetId="0">Kvikvejledning!$A$2:$J$35</definedName>
    <definedName name="_xlnm.Print_Area" localSheetId="9">'lon undervisning'!$A$2:$AE$102</definedName>
    <definedName name="_xlnm.Print_Area" localSheetId="17">'Prio-renter'!$A$2:$K$27</definedName>
    <definedName name="_xlnm.Print_Area" localSheetId="20">Prognose!$A$1:$F$52</definedName>
    <definedName name="_xlnm.Print_Area" localSheetId="18">'Resultat '!$A$3:$F$93</definedName>
    <definedName name="_xlnm.Print_Area" localSheetId="3">SatsBilag!$A$2:$D$55</definedName>
    <definedName name="_xlnm.Print_Area" localSheetId="8">'Skolepenge, pasningsordning.'!$A$1:$J$151</definedName>
    <definedName name="_xlnm.Print_Area" localSheetId="7">Statstilskud!$A$2:$K$133</definedName>
    <definedName name="_xlnm.Print_Area" localSheetId="11">'Undervisning-SFO udgifter'!$A$3:$F$130</definedName>
    <definedName name="Utakst1" localSheetId="19">#REF!</definedName>
    <definedName name="Utakst2" localSheetId="19">#REF!</definedName>
    <definedName name="Utakst3" localSheetId="19">#REF!</definedName>
    <definedName name="UvTax10kl">SatsBilag!$B$22</definedName>
    <definedName name="UvTax10kl_1">SatsBilag!$C$22</definedName>
    <definedName name="UvTaxO13">SatsBilag!$B$21</definedName>
    <definedName name="UvTaxO13_1">SatsBilag!$C$21</definedName>
    <definedName name="UvTaxU13">SatsBilag!$B$20</definedName>
    <definedName name="UvTaxU13_1">SatsBilag!$C$20</definedName>
    <definedName name="Vik.kas" localSheetId="19">#REF!</definedName>
    <definedName name="Vik.kas">SatsBilag!$B$36</definedName>
    <definedName name="Vik.kas_1">SatsBilag!$C$36</definedName>
    <definedName name="wrn.Årsplan." hidden="1">{#N/A,#N/A,FALSE,"Månedsaktivitetsplan"}</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J47" i="51" l="1"/>
  <c r="K47" i="51"/>
  <c r="L47" i="51"/>
  <c r="M47" i="51"/>
  <c r="N47" i="51"/>
  <c r="O47" i="51"/>
  <c r="P47" i="51"/>
  <c r="Q47" i="51"/>
  <c r="R47" i="51"/>
  <c r="S47" i="51"/>
  <c r="T47" i="51"/>
  <c r="U47" i="51"/>
  <c r="V47" i="51"/>
  <c r="W47" i="51"/>
  <c r="X47" i="51"/>
  <c r="Y47" i="51"/>
  <c r="Z47" i="51"/>
  <c r="AA47" i="51"/>
  <c r="AB47" i="51"/>
  <c r="AC47" i="51"/>
  <c r="AY47" i="52" l="1"/>
  <c r="AX47" i="52"/>
  <c r="AW47" i="52"/>
  <c r="AV47" i="52"/>
  <c r="AY29" i="52"/>
  <c r="AX29" i="52"/>
  <c r="AW29" i="52"/>
  <c r="AV29" i="52"/>
  <c r="AY28" i="52"/>
  <c r="AX28" i="52"/>
  <c r="AW28" i="52"/>
  <c r="AY26" i="52"/>
  <c r="AX26" i="52"/>
  <c r="AW26" i="52"/>
  <c r="AW44" i="52" l="1"/>
  <c r="AX44" i="52"/>
  <c r="AY44" i="52"/>
  <c r="A65" i="51" l="1"/>
  <c r="A18" i="52" l="1"/>
  <c r="A63" i="51"/>
  <c r="A48" i="64" l="1"/>
  <c r="A46" i="64"/>
  <c r="A45" i="64"/>
  <c r="A39" i="64"/>
  <c r="A22" i="64"/>
  <c r="A14" i="51"/>
  <c r="A11" i="55" l="1"/>
  <c r="B11" i="55"/>
  <c r="B12" i="55" s="1"/>
  <c r="B31" i="55"/>
  <c r="B32" i="55"/>
  <c r="B33" i="55"/>
  <c r="B34" i="55"/>
  <c r="B35" i="55"/>
  <c r="B29" i="55"/>
  <c r="F31" i="1" l="1"/>
  <c r="F113" i="8" s="1"/>
  <c r="G17" i="5"/>
  <c r="C84" i="12"/>
  <c r="A83" i="12"/>
  <c r="A72" i="12"/>
  <c r="C53" i="12"/>
  <c r="DA28" i="52"/>
  <c r="DB28" i="52"/>
  <c r="CN28" i="52"/>
  <c r="CO28" i="52"/>
  <c r="CP28" i="52"/>
  <c r="CQ28" i="52"/>
  <c r="CR28" i="52"/>
  <c r="CS28" i="52"/>
  <c r="CT28" i="52"/>
  <c r="CU28" i="52"/>
  <c r="BP28" i="52"/>
  <c r="BQ28" i="52"/>
  <c r="BR28" i="52"/>
  <c r="BS28" i="52"/>
  <c r="BT28" i="52"/>
  <c r="BU28" i="52"/>
  <c r="BO28" i="52"/>
  <c r="BC28" i="52"/>
  <c r="BD28" i="52"/>
  <c r="BE28" i="52"/>
  <c r="BF28" i="52"/>
  <c r="BG28" i="52"/>
  <c r="BH28" i="52"/>
  <c r="BI28" i="52"/>
  <c r="BJ28" i="52"/>
  <c r="BK28" i="52"/>
  <c r="BL28" i="52"/>
  <c r="BB28" i="52"/>
  <c r="AB28" i="52"/>
  <c r="AC28" i="52"/>
  <c r="AD28" i="52"/>
  <c r="AE28" i="52"/>
  <c r="AF28" i="52"/>
  <c r="AG28" i="52"/>
  <c r="AH28" i="52"/>
  <c r="AI28" i="52"/>
  <c r="AJ28" i="52"/>
  <c r="AK28" i="52"/>
  <c r="AL28" i="52"/>
  <c r="AM28" i="52"/>
  <c r="AO28" i="52"/>
  <c r="AP28" i="52"/>
  <c r="AQ28" i="52"/>
  <c r="AA28" i="52"/>
  <c r="H28" i="52"/>
  <c r="I28" i="52"/>
  <c r="J28" i="52"/>
  <c r="K28" i="52"/>
  <c r="L28" i="52"/>
  <c r="M28" i="52"/>
  <c r="N28" i="52"/>
  <c r="O28" i="52"/>
  <c r="P28" i="52"/>
  <c r="Q28" i="52"/>
  <c r="R28" i="52"/>
  <c r="S28" i="52"/>
  <c r="T28" i="52"/>
  <c r="U28" i="52"/>
  <c r="BP29" i="52"/>
  <c r="BQ29" i="52"/>
  <c r="BR29" i="52"/>
  <c r="BS29" i="52"/>
  <c r="BT29" i="52"/>
  <c r="BU29" i="52"/>
  <c r="BV29" i="52"/>
  <c r="BW29" i="52"/>
  <c r="BO29" i="52"/>
  <c r="BC29" i="52"/>
  <c r="BD29" i="52"/>
  <c r="BE29" i="52"/>
  <c r="BF29" i="52"/>
  <c r="BG29" i="52"/>
  <c r="BH29" i="52"/>
  <c r="BI29" i="52"/>
  <c r="BJ29" i="52"/>
  <c r="BK29" i="52"/>
  <c r="BL29" i="52"/>
  <c r="BB29" i="52"/>
  <c r="AB29" i="52"/>
  <c r="AC29" i="52"/>
  <c r="AD29" i="52"/>
  <c r="AE29" i="52"/>
  <c r="AF29" i="52"/>
  <c r="AG29" i="52"/>
  <c r="AH29" i="52"/>
  <c r="AI29" i="52"/>
  <c r="AJ29" i="52"/>
  <c r="AK29" i="52"/>
  <c r="AL29" i="52"/>
  <c r="AM29" i="52"/>
  <c r="AN29" i="52"/>
  <c r="AO29" i="52"/>
  <c r="AP29" i="52"/>
  <c r="AQ29" i="52"/>
  <c r="AA29" i="52"/>
  <c r="F29" i="52"/>
  <c r="G29" i="52"/>
  <c r="H29" i="52"/>
  <c r="I29" i="52"/>
  <c r="J29" i="52"/>
  <c r="K29" i="52"/>
  <c r="L29" i="52"/>
  <c r="M29" i="52"/>
  <c r="N29" i="52"/>
  <c r="O29" i="52"/>
  <c r="P29" i="52"/>
  <c r="Q29" i="52"/>
  <c r="R29" i="52"/>
  <c r="S29" i="52"/>
  <c r="T29" i="52"/>
  <c r="U29" i="52"/>
  <c r="G113" i="8" l="1"/>
  <c r="H113" i="8"/>
  <c r="E113" i="8"/>
  <c r="E51" i="8"/>
  <c r="H51" i="8"/>
  <c r="H69" i="51" l="1"/>
  <c r="I69" i="51"/>
  <c r="J69" i="51"/>
  <c r="K69" i="51"/>
  <c r="L69" i="51"/>
  <c r="M69" i="51"/>
  <c r="N69" i="51"/>
  <c r="O69" i="51"/>
  <c r="P69" i="51"/>
  <c r="Q69" i="51"/>
  <c r="R69" i="51"/>
  <c r="S69" i="51"/>
  <c r="T69" i="51"/>
  <c r="U69" i="51"/>
  <c r="V69" i="51"/>
  <c r="W69" i="51"/>
  <c r="X69" i="51"/>
  <c r="Y69" i="51"/>
  <c r="Z69" i="51"/>
  <c r="AA69" i="51"/>
  <c r="AB69" i="51"/>
  <c r="AC69" i="51"/>
  <c r="F69" i="51"/>
  <c r="D69" i="51"/>
  <c r="B66" i="53" l="1"/>
  <c r="D10" i="51" l="1"/>
  <c r="C10" i="51"/>
  <c r="F162" i="51"/>
  <c r="F151" i="51"/>
  <c r="F124" i="51"/>
  <c r="F104" i="51"/>
  <c r="F105" i="51" s="1"/>
  <c r="F98" i="51"/>
  <c r="F103" i="51" s="1"/>
  <c r="F82" i="51"/>
  <c r="F73" i="51"/>
  <c r="F54" i="51"/>
  <c r="F156" i="51" s="1"/>
  <c r="F52" i="51"/>
  <c r="F51" i="51"/>
  <c r="F49" i="51"/>
  <c r="F47" i="51"/>
  <c r="F44" i="51"/>
  <c r="F148" i="51" s="1"/>
  <c r="F10" i="51"/>
  <c r="F166" i="51" s="1"/>
  <c r="F89" i="51" l="1"/>
  <c r="F99" i="51"/>
  <c r="F100" i="51" l="1"/>
  <c r="A81" i="36" l="1"/>
  <c r="A72" i="36"/>
  <c r="A63" i="36"/>
  <c r="A15" i="51"/>
  <c r="AS26" i="52" l="1"/>
  <c r="AS27" i="52" s="1"/>
  <c r="AT26" i="52"/>
  <c r="AT27" i="52" s="1"/>
  <c r="AU26" i="52"/>
  <c r="AU27" i="52" s="1"/>
  <c r="AW27" i="52"/>
  <c r="AX27" i="52"/>
  <c r="AY109" i="52"/>
  <c r="AX109" i="52"/>
  <c r="AW109" i="52"/>
  <c r="AV109" i="52"/>
  <c r="AU109" i="52"/>
  <c r="AT109" i="52"/>
  <c r="AS109" i="52"/>
  <c r="AR109" i="52"/>
  <c r="AY106" i="52"/>
  <c r="AX106" i="52"/>
  <c r="AW106" i="52"/>
  <c r="AV106" i="52"/>
  <c r="AU106" i="52"/>
  <c r="AT106" i="52"/>
  <c r="AS106" i="52"/>
  <c r="AR106" i="52"/>
  <c r="AY83" i="52"/>
  <c r="AX83" i="52"/>
  <c r="AW83" i="52"/>
  <c r="AV83" i="52"/>
  <c r="AU83" i="52"/>
  <c r="AT83" i="52"/>
  <c r="AS83" i="52"/>
  <c r="AR83" i="52"/>
  <c r="AY81" i="52"/>
  <c r="AX81" i="52"/>
  <c r="AW81" i="52"/>
  <c r="AV81" i="52"/>
  <c r="AU81" i="52"/>
  <c r="AT81" i="52"/>
  <c r="AS81" i="52"/>
  <c r="AR81" i="52"/>
  <c r="AY79" i="52" a="1"/>
  <c r="AY79" i="52" s="1"/>
  <c r="AX79" i="52" a="1"/>
  <c r="AX79" i="52" s="1"/>
  <c r="AW79" i="52" a="1"/>
  <c r="AW79" i="52" s="1"/>
  <c r="AV79" i="52" a="1"/>
  <c r="AV79" i="52" s="1"/>
  <c r="AU79" i="52" a="1"/>
  <c r="AU79" i="52" s="1"/>
  <c r="AT79" i="52" a="1"/>
  <c r="AT79" i="52" s="1"/>
  <c r="AS79" i="52" a="1"/>
  <c r="AS79" i="52" s="1"/>
  <c r="AR79" i="52" a="1"/>
  <c r="AR79" i="52" s="1"/>
  <c r="AY68" i="52"/>
  <c r="AX68" i="52"/>
  <c r="AW68" i="52"/>
  <c r="AV68" i="52"/>
  <c r="AU68" i="52"/>
  <c r="AT68" i="52"/>
  <c r="AS68" i="52"/>
  <c r="AR68" i="52"/>
  <c r="AY58" i="52"/>
  <c r="AX58" i="52"/>
  <c r="AW58" i="52"/>
  <c r="AV58" i="52"/>
  <c r="AU58" i="52"/>
  <c r="AT58" i="52"/>
  <c r="AS58" i="52"/>
  <c r="AR58" i="52"/>
  <c r="AV76" i="52"/>
  <c r="AU47" i="52"/>
  <c r="AT47" i="52"/>
  <c r="AT76" i="52" s="1"/>
  <c r="AS47" i="52"/>
  <c r="AS76" i="52" s="1"/>
  <c r="AR47" i="52"/>
  <c r="AU46" i="52"/>
  <c r="AT46" i="52"/>
  <c r="AS46" i="52"/>
  <c r="AR46" i="52"/>
  <c r="AY27" i="52"/>
  <c r="AY14" i="52"/>
  <c r="AX14" i="52"/>
  <c r="AW14" i="52"/>
  <c r="AV14" i="52"/>
  <c r="AU14" i="52"/>
  <c r="AT14" i="52"/>
  <c r="AS14" i="52"/>
  <c r="AR14" i="52"/>
  <c r="AY112" i="52" l="1"/>
  <c r="AT104" i="52"/>
  <c r="AR107" i="52"/>
  <c r="AS112" i="52"/>
  <c r="AR108" i="52"/>
  <c r="AU107" i="52"/>
  <c r="AU108" i="52"/>
  <c r="AY108" i="52"/>
  <c r="AX108" i="52"/>
  <c r="AW108" i="52"/>
  <c r="AS107" i="52"/>
  <c r="AU96" i="52"/>
  <c r="AS96" i="52"/>
  <c r="AW96" i="52"/>
  <c r="AT96" i="52"/>
  <c r="AX96" i="52"/>
  <c r="AY96" i="52"/>
  <c r="AY100" i="52"/>
  <c r="AR99" i="52"/>
  <c r="AS100" i="52"/>
  <c r="AS108" i="52"/>
  <c r="AT105" i="52"/>
  <c r="AT108" i="52"/>
  <c r="AT112" i="52"/>
  <c r="AY76" i="52"/>
  <c r="AR76" i="52"/>
  <c r="AR105" i="52"/>
  <c r="AS104" i="52"/>
  <c r="AT107" i="52"/>
  <c r="AU76" i="52"/>
  <c r="AU99" i="52"/>
  <c r="AU100" i="52"/>
  <c r="AU104" i="52"/>
  <c r="AU105" i="52"/>
  <c r="AU112" i="52"/>
  <c r="AV100" i="52"/>
  <c r="AV104" i="52"/>
  <c r="AV105" i="52"/>
  <c r="AV108" i="52"/>
  <c r="AV112" i="52"/>
  <c r="AY105" i="52"/>
  <c r="AR100" i="52"/>
  <c r="AR112" i="52"/>
  <c r="AS99" i="52"/>
  <c r="AS105" i="52"/>
  <c r="AT100" i="52"/>
  <c r="AW76" i="52"/>
  <c r="AW99" i="52"/>
  <c r="AW100" i="52"/>
  <c r="AW104" i="52"/>
  <c r="AW105" i="52"/>
  <c r="AW112" i="52"/>
  <c r="AY99" i="52"/>
  <c r="AY104" i="52"/>
  <c r="AR104" i="52"/>
  <c r="AT51" i="52"/>
  <c r="AT110" i="52" s="1"/>
  <c r="AT99" i="52"/>
  <c r="AX76" i="52"/>
  <c r="AX99" i="52"/>
  <c r="AX100" i="52"/>
  <c r="AX104" i="52"/>
  <c r="AX105" i="52"/>
  <c r="AX112" i="52"/>
  <c r="U30" i="36" l="1"/>
  <c r="U29" i="36"/>
  <c r="U83" i="36"/>
  <c r="U82" i="36"/>
  <c r="U74" i="36"/>
  <c r="U73" i="36"/>
  <c r="U65" i="36"/>
  <c r="U64" i="36"/>
  <c r="U21" i="36"/>
  <c r="U12" i="36"/>
  <c r="U20" i="36"/>
  <c r="U11" i="36"/>
  <c r="U40" i="36"/>
  <c r="T33" i="36" a="1"/>
  <c r="T33" i="36" s="1"/>
  <c r="S33" i="36"/>
  <c r="T34" i="36" a="1"/>
  <c r="T34" i="36" s="1"/>
  <c r="S34" i="36"/>
  <c r="T31" i="36" a="1"/>
  <c r="T31" i="36" s="1"/>
  <c r="S31" i="36"/>
  <c r="T32" i="36" a="1"/>
  <c r="T32" i="36" s="1"/>
  <c r="S32" i="36"/>
  <c r="S20" i="36"/>
  <c r="T20" i="36" a="1"/>
  <c r="T20" i="36" s="1"/>
  <c r="T12" i="36" a="1"/>
  <c r="T12" i="36" s="1"/>
  <c r="S12" i="36"/>
  <c r="T13" i="36" a="1"/>
  <c r="T13" i="36" s="1"/>
  <c r="S13" i="36"/>
  <c r="T14" i="36" a="1"/>
  <c r="T14" i="36" s="1"/>
  <c r="S14" i="36"/>
  <c r="T15" i="36" a="1"/>
  <c r="T15" i="36" s="1"/>
  <c r="S15" i="36"/>
  <c r="T16" i="36" a="1"/>
  <c r="T16" i="36" s="1"/>
  <c r="S16" i="36"/>
  <c r="T17" i="36" a="1"/>
  <c r="T17" i="36" s="1"/>
  <c r="S17" i="36"/>
  <c r="T18" i="36" a="1"/>
  <c r="T18" i="36" s="1"/>
  <c r="S18" i="36"/>
  <c r="T21" i="36" a="1"/>
  <c r="T21" i="36" s="1"/>
  <c r="S21" i="36"/>
  <c r="T22" i="36" a="1"/>
  <c r="T22" i="36" s="1"/>
  <c r="S22" i="36"/>
  <c r="T71" i="36" a="1"/>
  <c r="T71" i="36" s="1"/>
  <c r="S71" i="36"/>
  <c r="T73" i="36" a="1"/>
  <c r="T73" i="36" s="1"/>
  <c r="S73" i="36"/>
  <c r="T74" i="36" a="1"/>
  <c r="T74" i="36" s="1"/>
  <c r="S74" i="36"/>
  <c r="T75" i="36" a="1"/>
  <c r="T75" i="36" s="1"/>
  <c r="S75" i="36"/>
  <c r="T76" i="36" a="1"/>
  <c r="T76" i="36" s="1"/>
  <c r="S76" i="36"/>
  <c r="T77" i="36" a="1"/>
  <c r="T77" i="36" s="1"/>
  <c r="S77" i="36"/>
  <c r="T78" i="36" a="1"/>
  <c r="T78" i="36" s="1"/>
  <c r="S78" i="36"/>
  <c r="T79" i="36" a="1"/>
  <c r="T79" i="36" s="1"/>
  <c r="S79" i="36"/>
  <c r="T80" i="36" a="1"/>
  <c r="T80" i="36" s="1"/>
  <c r="S80" i="36"/>
  <c r="T82" i="36" a="1"/>
  <c r="T82" i="36" s="1"/>
  <c r="S82" i="36"/>
  <c r="T83" i="36" a="1"/>
  <c r="T83" i="36" s="1"/>
  <c r="S83" i="36"/>
  <c r="T84" i="36" a="1"/>
  <c r="T84" i="36" s="1"/>
  <c r="S84" i="36"/>
  <c r="T85" i="36" a="1"/>
  <c r="T85" i="36" s="1"/>
  <c r="S85" i="36"/>
  <c r="U22" i="36" l="1"/>
  <c r="U23" i="36" s="1"/>
  <c r="V23" i="36" s="1"/>
  <c r="U31" i="36"/>
  <c r="U66" i="36"/>
  <c r="U67" i="36" s="1"/>
  <c r="V67" i="36" s="1"/>
  <c r="U75" i="36"/>
  <c r="U76" i="36" s="1"/>
  <c r="V76" i="36" s="1"/>
  <c r="U13" i="36"/>
  <c r="U14" i="36" s="1"/>
  <c r="V14" i="36" s="1"/>
  <c r="U84" i="36"/>
  <c r="U85" i="36" s="1"/>
  <c r="V85" i="36" s="1"/>
  <c r="U32" i="36" l="1"/>
  <c r="V32" i="36" s="1"/>
  <c r="Q115" i="36" s="1"/>
  <c r="F8" i="5" s="1"/>
  <c r="Q116" i="36"/>
  <c r="F9" i="5" s="1"/>
  <c r="BC109" i="52" l="1"/>
  <c r="BC106" i="52"/>
  <c r="BC68" i="52"/>
  <c r="BC58" i="52"/>
  <c r="BC47" i="52"/>
  <c r="BC76" i="52" s="1"/>
  <c r="BC14" i="52"/>
  <c r="F109" i="52"/>
  <c r="F106" i="52"/>
  <c r="F91" i="52"/>
  <c r="F68" i="52"/>
  <c r="F58" i="52"/>
  <c r="F47" i="52"/>
  <c r="F14" i="52"/>
  <c r="AE109" i="52"/>
  <c r="AE106" i="52"/>
  <c r="AE68" i="52"/>
  <c r="AE58" i="52"/>
  <c r="AE47" i="52"/>
  <c r="AE76" i="52" s="1"/>
  <c r="AE14" i="52"/>
  <c r="Y109" i="52"/>
  <c r="Y106" i="52"/>
  <c r="Y83" i="52"/>
  <c r="Y70" i="52"/>
  <c r="Y68" i="52"/>
  <c r="Y58" i="52"/>
  <c r="Y57" i="52"/>
  <c r="Y56" i="52"/>
  <c r="Y47" i="52"/>
  <c r="Y76" i="52" s="1"/>
  <c r="Y14" i="52"/>
  <c r="Y105" i="52" s="1"/>
  <c r="V111" i="36"/>
  <c r="F104" i="52" l="1"/>
  <c r="BC104" i="52"/>
  <c r="BC108" i="52"/>
  <c r="BC112" i="52"/>
  <c r="BC105" i="52"/>
  <c r="F108" i="52"/>
  <c r="BC100" i="52"/>
  <c r="F87" i="52"/>
  <c r="F105" i="52"/>
  <c r="Y30" i="52"/>
  <c r="Y100" i="52" s="1"/>
  <c r="F76" i="52"/>
  <c r="F100" i="52"/>
  <c r="AE108" i="52"/>
  <c r="AE100" i="52"/>
  <c r="AE104" i="52"/>
  <c r="AE112" i="52"/>
  <c r="AE105" i="52"/>
  <c r="Y108" i="52"/>
  <c r="Y99" i="52"/>
  <c r="Y104" i="52"/>
  <c r="Y29" i="52"/>
  <c r="Y112" i="52" s="1"/>
  <c r="CD109" i="52"/>
  <c r="CD106" i="52"/>
  <c r="CD91" i="52"/>
  <c r="CD83" i="52"/>
  <c r="CD81" i="52"/>
  <c r="CD79" i="52" a="1"/>
  <c r="CD79" i="52" s="1"/>
  <c r="CD68" i="52"/>
  <c r="CD58" i="52"/>
  <c r="CD47" i="52"/>
  <c r="CD76" i="52" s="1"/>
  <c r="CD26" i="52"/>
  <c r="CD27" i="52" s="1"/>
  <c r="CD14" i="52"/>
  <c r="CD105" i="52" s="1"/>
  <c r="CE109" i="52"/>
  <c r="CE106" i="52"/>
  <c r="CE91" i="52"/>
  <c r="CE83" i="52"/>
  <c r="CE81" i="52"/>
  <c r="CE79" i="52" a="1"/>
  <c r="CE79" i="52" s="1"/>
  <c r="CE68" i="52"/>
  <c r="CE58" i="52"/>
  <c r="CE47" i="52"/>
  <c r="CE76" i="52" s="1"/>
  <c r="CE26" i="52"/>
  <c r="CE27" i="52" s="1"/>
  <c r="CE14" i="52"/>
  <c r="CE105" i="52" s="1"/>
  <c r="CF109" i="52"/>
  <c r="CF106" i="52"/>
  <c r="CF91" i="52"/>
  <c r="CF83" i="52"/>
  <c r="CF81" i="52"/>
  <c r="CF79" i="52" a="1"/>
  <c r="CF79" i="52" s="1"/>
  <c r="CF68" i="52"/>
  <c r="CF58" i="52"/>
  <c r="CF47" i="52"/>
  <c r="CF76" i="52" s="1"/>
  <c r="CF26" i="52"/>
  <c r="CF44" i="52" s="1"/>
  <c r="CF14" i="52"/>
  <c r="CF105" i="52" s="1"/>
  <c r="CG109" i="52"/>
  <c r="CG106" i="52"/>
  <c r="CG91" i="52"/>
  <c r="CG83" i="52"/>
  <c r="CG81" i="52"/>
  <c r="CG79" i="52" a="1"/>
  <c r="CG79" i="52" s="1"/>
  <c r="CG68" i="52"/>
  <c r="CG58" i="52"/>
  <c r="CG47" i="52"/>
  <c r="CG76" i="52" s="1"/>
  <c r="CG26" i="52"/>
  <c r="CG27" i="52" s="1"/>
  <c r="CG14" i="52"/>
  <c r="CG105" i="52" s="1"/>
  <c r="AQ109" i="52"/>
  <c r="AP109" i="52"/>
  <c r="AO109" i="52"/>
  <c r="AQ106" i="52"/>
  <c r="AP106" i="52"/>
  <c r="AO106" i="52"/>
  <c r="AQ83" i="52"/>
  <c r="AP83" i="52"/>
  <c r="AO83" i="52"/>
  <c r="AQ81" i="52"/>
  <c r="AP81" i="52"/>
  <c r="AO81" i="52"/>
  <c r="AQ79" i="52" a="1"/>
  <c r="AQ79" i="52" s="1"/>
  <c r="AP79" i="52" a="1"/>
  <c r="AP79" i="52" s="1"/>
  <c r="AO79" i="52" a="1"/>
  <c r="AO79" i="52" s="1"/>
  <c r="AQ68" i="52"/>
  <c r="AP68" i="52"/>
  <c r="AO68" i="52"/>
  <c r="AQ58" i="52"/>
  <c r="AP58" i="52"/>
  <c r="AO58" i="52"/>
  <c r="AQ47" i="52"/>
  <c r="AP47" i="52"/>
  <c r="AO47" i="52"/>
  <c r="AQ26" i="52"/>
  <c r="AP26" i="52"/>
  <c r="AO26" i="52"/>
  <c r="AQ14" i="52"/>
  <c r="AP14" i="52"/>
  <c r="AO14" i="52"/>
  <c r="AN109" i="52"/>
  <c r="AM109" i="52"/>
  <c r="AL109" i="52"/>
  <c r="AK109" i="52"/>
  <c r="AN106" i="52"/>
  <c r="AM106" i="52"/>
  <c r="AL106" i="52"/>
  <c r="AK106" i="52"/>
  <c r="AN83" i="52"/>
  <c r="AM83" i="52"/>
  <c r="AL83" i="52"/>
  <c r="AK83" i="52"/>
  <c r="AN81" i="52"/>
  <c r="AM81" i="52"/>
  <c r="AL81" i="52"/>
  <c r="AK81" i="52"/>
  <c r="AN79" i="52" a="1"/>
  <c r="AN79" i="52" s="1"/>
  <c r="AM79" i="52" a="1"/>
  <c r="AM79" i="52" s="1"/>
  <c r="AL79" i="52" a="1"/>
  <c r="AL79" i="52" s="1"/>
  <c r="AK79" i="52" a="1"/>
  <c r="AK79" i="52" s="1"/>
  <c r="AN68" i="52"/>
  <c r="AM68" i="52"/>
  <c r="AL68" i="52"/>
  <c r="AK68" i="52"/>
  <c r="AN58" i="52"/>
  <c r="AM58" i="52"/>
  <c r="AL58" i="52"/>
  <c r="AK58" i="52"/>
  <c r="AN47" i="52"/>
  <c r="AM47" i="52"/>
  <c r="AL47" i="52"/>
  <c r="AK47" i="52"/>
  <c r="AM26" i="52"/>
  <c r="AL26" i="52"/>
  <c r="AK26" i="52"/>
  <c r="AN14" i="52"/>
  <c r="AM14" i="52"/>
  <c r="AL14" i="52"/>
  <c r="AK14" i="52"/>
  <c r="CY83" i="52"/>
  <c r="CZ83" i="52"/>
  <c r="DA83" i="52"/>
  <c r="DB83" i="52"/>
  <c r="CY81" i="52"/>
  <c r="CZ81" i="52"/>
  <c r="DA81" i="52"/>
  <c r="DB81" i="52"/>
  <c r="CX83" i="52"/>
  <c r="CX81" i="52"/>
  <c r="CQ83" i="52"/>
  <c r="CR83" i="52"/>
  <c r="CS83" i="52"/>
  <c r="CT83" i="52"/>
  <c r="CU83" i="52"/>
  <c r="CP81" i="52"/>
  <c r="CQ81" i="52"/>
  <c r="CR81" i="52"/>
  <c r="CS81" i="52"/>
  <c r="CT81" i="52"/>
  <c r="CU81" i="52"/>
  <c r="CC83" i="52"/>
  <c r="CH83" i="52"/>
  <c r="CC81" i="52"/>
  <c r="CH81" i="52"/>
  <c r="CA81" i="52"/>
  <c r="BP83" i="52"/>
  <c r="BQ83" i="52"/>
  <c r="BR83" i="52"/>
  <c r="BS83" i="52"/>
  <c r="BT83" i="52"/>
  <c r="BU83" i="52"/>
  <c r="BV83" i="52"/>
  <c r="BW83" i="52"/>
  <c r="BX83" i="52"/>
  <c r="BP81" i="52"/>
  <c r="BQ81" i="52"/>
  <c r="BR81" i="52"/>
  <c r="BS81" i="52"/>
  <c r="BT81" i="52"/>
  <c r="BU81" i="52"/>
  <c r="BV81" i="52"/>
  <c r="BW81" i="52"/>
  <c r="BX81" i="52"/>
  <c r="BO83" i="52"/>
  <c r="BO81" i="52"/>
  <c r="BD83" i="52"/>
  <c r="BE83" i="52"/>
  <c r="BF83" i="52"/>
  <c r="BG83" i="52"/>
  <c r="BH83" i="52"/>
  <c r="BI83" i="52"/>
  <c r="BJ83" i="52"/>
  <c r="BK83" i="52"/>
  <c r="BL83" i="52"/>
  <c r="BD81" i="52"/>
  <c r="BE81" i="52"/>
  <c r="BF81" i="52"/>
  <c r="BG81" i="52"/>
  <c r="BH81" i="52"/>
  <c r="BI81" i="52"/>
  <c r="BJ81" i="52"/>
  <c r="BK81" i="52"/>
  <c r="BL81" i="52"/>
  <c r="AG83" i="52"/>
  <c r="AH83" i="52"/>
  <c r="AI83" i="52"/>
  <c r="AJ83" i="52"/>
  <c r="Z81" i="52"/>
  <c r="AG81" i="52"/>
  <c r="AH81" i="52"/>
  <c r="AI81" i="52"/>
  <c r="AJ81" i="52"/>
  <c r="D83" i="52"/>
  <c r="H83" i="52"/>
  <c r="K83" i="52"/>
  <c r="L83" i="52"/>
  <c r="M83" i="52"/>
  <c r="N83" i="52"/>
  <c r="O83" i="52"/>
  <c r="P83" i="52"/>
  <c r="Q83" i="52"/>
  <c r="R83" i="52"/>
  <c r="S83" i="52"/>
  <c r="T83" i="52"/>
  <c r="U83" i="52"/>
  <c r="D81" i="52"/>
  <c r="I81" i="52"/>
  <c r="K81" i="52"/>
  <c r="L81" i="52"/>
  <c r="M81" i="52"/>
  <c r="N81" i="52"/>
  <c r="O81" i="52"/>
  <c r="P81" i="52"/>
  <c r="Q81" i="52"/>
  <c r="R81" i="52"/>
  <c r="S81" i="52"/>
  <c r="T81" i="52"/>
  <c r="U81" i="52"/>
  <c r="C83" i="52"/>
  <c r="C81" i="52"/>
  <c r="AC96" i="51"/>
  <c r="AA96" i="51"/>
  <c r="AB96" i="51"/>
  <c r="Z96" i="51"/>
  <c r="W96" i="51"/>
  <c r="X94" i="51"/>
  <c r="Z94" i="51"/>
  <c r="AA94" i="51"/>
  <c r="AB94" i="51"/>
  <c r="AC94" i="51"/>
  <c r="B27" i="55"/>
  <c r="I109" i="52"/>
  <c r="I106" i="52"/>
  <c r="I91" i="52"/>
  <c r="I68" i="52"/>
  <c r="I58" i="52"/>
  <c r="I47" i="52"/>
  <c r="I76" i="52" s="1"/>
  <c r="I14" i="52"/>
  <c r="A50" i="52"/>
  <c r="I10" i="51"/>
  <c r="A72" i="64"/>
  <c r="A70" i="64"/>
  <c r="A69" i="64"/>
  <c r="A58" i="64"/>
  <c r="A57" i="64"/>
  <c r="A54" i="64"/>
  <c r="F106" i="51" l="1"/>
  <c r="F107" i="51" s="1"/>
  <c r="F101" i="51"/>
  <c r="F102" i="51" s="1"/>
  <c r="AX92" i="52"/>
  <c r="AW92" i="52"/>
  <c r="AV92" i="52"/>
  <c r="AU92" i="52"/>
  <c r="AT92" i="52"/>
  <c r="AS92" i="52"/>
  <c r="AR92" i="52"/>
  <c r="AY92" i="52"/>
  <c r="AW88" i="52"/>
  <c r="AU88" i="52"/>
  <c r="AV88" i="52"/>
  <c r="AS88" i="52"/>
  <c r="AR88" i="52"/>
  <c r="AX88" i="52"/>
  <c r="AT88" i="52"/>
  <c r="AY88" i="52"/>
  <c r="Y92" i="52"/>
  <c r="F92" i="52"/>
  <c r="AE92" i="52"/>
  <c r="BC92" i="52"/>
  <c r="AQ92" i="52"/>
  <c r="CG92" i="52"/>
  <c r="CE92" i="52"/>
  <c r="AE88" i="52"/>
  <c r="Y88" i="52"/>
  <c r="BC88" i="52"/>
  <c r="AK92" i="52"/>
  <c r="I92" i="52"/>
  <c r="AL92" i="52"/>
  <c r="AM92" i="52"/>
  <c r="CF92" i="52"/>
  <c r="CD92" i="52"/>
  <c r="AN92" i="52"/>
  <c r="F88" i="52"/>
  <c r="AO92" i="52"/>
  <c r="AP92" i="52"/>
  <c r="AK104" i="52"/>
  <c r="AO77" i="52"/>
  <c r="AL104" i="52"/>
  <c r="AL99" i="52"/>
  <c r="AP104" i="52"/>
  <c r="AM104" i="52"/>
  <c r="AQ104" i="52"/>
  <c r="AP27" i="52"/>
  <c r="AP96" i="52" s="1"/>
  <c r="AK27" i="52"/>
  <c r="AK96" i="52" s="1"/>
  <c r="AQ27" i="52"/>
  <c r="AQ96" i="52" s="1"/>
  <c r="AE99" i="52"/>
  <c r="CF27" i="52"/>
  <c r="CE108" i="52"/>
  <c r="CE77" i="52"/>
  <c r="CD96" i="52"/>
  <c r="CD44" i="52"/>
  <c r="CD99" i="52"/>
  <c r="CD100" i="52"/>
  <c r="CD108" i="52"/>
  <c r="AO112" i="52"/>
  <c r="CG44" i="52"/>
  <c r="CD87" i="52"/>
  <c r="CE51" i="52"/>
  <c r="CE110" i="52" s="1"/>
  <c r="CD88" i="52"/>
  <c r="CD51" i="52"/>
  <c r="CD110" i="52" s="1"/>
  <c r="CD104" i="52"/>
  <c r="CD77" i="52"/>
  <c r="CE96" i="52"/>
  <c r="CE44" i="52"/>
  <c r="CE99" i="52"/>
  <c r="CE100" i="52"/>
  <c r="CF88" i="52"/>
  <c r="CE87" i="52"/>
  <c r="CE88" i="52"/>
  <c r="CE104" i="52"/>
  <c r="AO108" i="52"/>
  <c r="CF99" i="52"/>
  <c r="CF100" i="52"/>
  <c r="CF108" i="52"/>
  <c r="CF87" i="52"/>
  <c r="CF51" i="52"/>
  <c r="CF110" i="52" s="1"/>
  <c r="CF104" i="52"/>
  <c r="CF77" i="52"/>
  <c r="CG96" i="52"/>
  <c r="I108" i="52"/>
  <c r="AK44" i="52"/>
  <c r="AP112" i="52"/>
  <c r="CG87" i="52"/>
  <c r="CG108" i="52"/>
  <c r="AQ112" i="52"/>
  <c r="CG88" i="52"/>
  <c r="AP108" i="52"/>
  <c r="CG99" i="52"/>
  <c r="AN100" i="52"/>
  <c r="CG100" i="52"/>
  <c r="AL108" i="52"/>
  <c r="CG51" i="52"/>
  <c r="CG110" i="52" s="1"/>
  <c r="CG104" i="52"/>
  <c r="AL112" i="52"/>
  <c r="AQ108" i="52"/>
  <c r="AN112" i="52"/>
  <c r="AM108" i="52"/>
  <c r="AO27" i="52"/>
  <c r="AO96" i="52" s="1"/>
  <c r="AO44" i="52"/>
  <c r="CG77" i="52"/>
  <c r="AK108" i="52"/>
  <c r="AN104" i="52"/>
  <c r="AP44" i="52"/>
  <c r="AP77" i="52"/>
  <c r="AP105" i="52"/>
  <c r="AP99" i="52"/>
  <c r="AQ44" i="52"/>
  <c r="AQ77" i="52"/>
  <c r="AQ105" i="52"/>
  <c r="AQ99" i="52"/>
  <c r="AN88" i="52"/>
  <c r="AO105" i="52"/>
  <c r="AK112" i="52"/>
  <c r="AN108" i="52"/>
  <c r="AO51" i="52"/>
  <c r="AO110" i="52" s="1"/>
  <c r="AO76" i="52"/>
  <c r="AO88" i="52"/>
  <c r="AO100" i="52"/>
  <c r="AO104" i="52"/>
  <c r="AO99" i="52"/>
  <c r="AP51" i="52"/>
  <c r="AP110" i="52" s="1"/>
  <c r="AP76" i="52"/>
  <c r="AP88" i="52"/>
  <c r="AP100" i="52"/>
  <c r="AM112" i="52"/>
  <c r="AQ51" i="52"/>
  <c r="AQ110" i="52" s="1"/>
  <c r="AQ76" i="52"/>
  <c r="AQ88" i="52"/>
  <c r="AQ100" i="52"/>
  <c r="AN76" i="52"/>
  <c r="AK77" i="52"/>
  <c r="AK105" i="52"/>
  <c r="AK99" i="52"/>
  <c r="AL27" i="52"/>
  <c r="AL44" i="52"/>
  <c r="AL77" i="52"/>
  <c r="AL105" i="52"/>
  <c r="AM27" i="52"/>
  <c r="AM44" i="52"/>
  <c r="AM77" i="52"/>
  <c r="AM105" i="52"/>
  <c r="AM99" i="52"/>
  <c r="AN105" i="52"/>
  <c r="AK51" i="52"/>
  <c r="AK110" i="52" s="1"/>
  <c r="AK76" i="52"/>
  <c r="AK88" i="52"/>
  <c r="AK100" i="52"/>
  <c r="AL51" i="52"/>
  <c r="AL110" i="52" s="1"/>
  <c r="AL76" i="52"/>
  <c r="AL88" i="52"/>
  <c r="AL100" i="52"/>
  <c r="AM51" i="52"/>
  <c r="AM110" i="52" s="1"/>
  <c r="AM76" i="52"/>
  <c r="AM88" i="52"/>
  <c r="AM100" i="52"/>
  <c r="I88" i="52"/>
  <c r="I104" i="52"/>
  <c r="I112" i="52"/>
  <c r="I87" i="52"/>
  <c r="I100" i="52"/>
  <c r="I105" i="52"/>
  <c r="A19" i="52"/>
  <c r="BC51" i="52" l="1"/>
  <c r="BC110" i="52" s="1"/>
  <c r="CF96" i="52"/>
  <c r="I99" i="52"/>
  <c r="AM96" i="52"/>
  <c r="AL96" i="52"/>
  <c r="A51" i="52"/>
  <c r="A64" i="51"/>
  <c r="D162" i="51"/>
  <c r="D151" i="51"/>
  <c r="D124" i="51"/>
  <c r="D104" i="51"/>
  <c r="D106" i="51" s="1"/>
  <c r="D98" i="51"/>
  <c r="D103" i="51" s="1"/>
  <c r="D82" i="51"/>
  <c r="D73" i="51"/>
  <c r="D54" i="51"/>
  <c r="D52" i="51"/>
  <c r="D49" i="51"/>
  <c r="D47" i="51"/>
  <c r="D44" i="51"/>
  <c r="A9" i="55"/>
  <c r="D17" i="51" l="1"/>
  <c r="D24" i="51" s="1"/>
  <c r="D46" i="51" s="1"/>
  <c r="D48" i="51" s="1"/>
  <c r="D53" i="51" s="1"/>
  <c r="BC81" i="52"/>
  <c r="BC83" i="52"/>
  <c r="BC77" i="52"/>
  <c r="BC79" i="52" s="1" a="1"/>
  <c r="BC79" i="52" s="1"/>
  <c r="Y79" i="52" a="1"/>
  <c r="Y79" i="52" s="1"/>
  <c r="I51" i="52"/>
  <c r="I110" i="52" s="1"/>
  <c r="D156" i="51"/>
  <c r="D166" i="51"/>
  <c r="D148" i="51"/>
  <c r="D99" i="51"/>
  <c r="D89" i="51"/>
  <c r="D105" i="51"/>
  <c r="D107" i="51" s="1"/>
  <c r="CY47" i="52"/>
  <c r="CZ47" i="52"/>
  <c r="DA47" i="52"/>
  <c r="DB47" i="52"/>
  <c r="CX47" i="52"/>
  <c r="CL47" i="52"/>
  <c r="CM47" i="52"/>
  <c r="CN47" i="52"/>
  <c r="CO47" i="52"/>
  <c r="CP47" i="52"/>
  <c r="CQ47" i="52"/>
  <c r="CR47" i="52"/>
  <c r="CS47" i="52"/>
  <c r="CT47" i="52"/>
  <c r="CU47" i="52"/>
  <c r="CK47" i="52"/>
  <c r="CB47" i="52"/>
  <c r="CC47" i="52"/>
  <c r="CH47" i="52"/>
  <c r="CA47" i="52"/>
  <c r="BP47" i="52"/>
  <c r="BQ47" i="52"/>
  <c r="BR47" i="52"/>
  <c r="BS47" i="52"/>
  <c r="BT47" i="52"/>
  <c r="BU47" i="52"/>
  <c r="BV47" i="52"/>
  <c r="BW47" i="52"/>
  <c r="BX47" i="52"/>
  <c r="BO47" i="52"/>
  <c r="BD47" i="52"/>
  <c r="BE47" i="52"/>
  <c r="BF47" i="52"/>
  <c r="BG47" i="52"/>
  <c r="BH47" i="52"/>
  <c r="BI47" i="52"/>
  <c r="BJ47" i="52"/>
  <c r="BK47" i="52"/>
  <c r="BL47" i="52"/>
  <c r="BB47" i="52"/>
  <c r="Z47" i="52"/>
  <c r="AA47" i="52"/>
  <c r="AB47" i="52"/>
  <c r="AC47" i="52"/>
  <c r="AD47" i="52"/>
  <c r="AF47" i="52"/>
  <c r="AG47" i="52"/>
  <c r="AH47" i="52"/>
  <c r="AI47" i="52"/>
  <c r="AJ47" i="52"/>
  <c r="X47" i="52"/>
  <c r="D47" i="52"/>
  <c r="E47" i="52"/>
  <c r="G47" i="52"/>
  <c r="H47" i="52"/>
  <c r="J47" i="52"/>
  <c r="K47" i="52"/>
  <c r="L47" i="52"/>
  <c r="M47" i="52"/>
  <c r="N47" i="52"/>
  <c r="O47" i="52"/>
  <c r="P47" i="52"/>
  <c r="Q47" i="52"/>
  <c r="R47" i="52"/>
  <c r="S47" i="52"/>
  <c r="T47" i="52"/>
  <c r="U47" i="52"/>
  <c r="C47" i="52"/>
  <c r="B14" i="55"/>
  <c r="CI47" i="52" s="1"/>
  <c r="AZ47" i="52" l="1"/>
  <c r="CV47" i="52"/>
  <c r="BA47" i="52"/>
  <c r="CW47" i="52"/>
  <c r="BM47" i="52"/>
  <c r="DC47" i="52"/>
  <c r="BN47" i="52"/>
  <c r="DD47" i="52"/>
  <c r="BY47" i="52"/>
  <c r="CJ47" i="52"/>
  <c r="BZ47" i="52"/>
  <c r="W47" i="52"/>
  <c r="V47" i="52"/>
  <c r="D146" i="51"/>
  <c r="D135" i="51"/>
  <c r="D38" i="51"/>
  <c r="D45" i="51" s="1"/>
  <c r="D50" i="51" s="1"/>
  <c r="D51" i="51"/>
  <c r="D153" i="51" s="1"/>
  <c r="D118" i="51"/>
  <c r="I77" i="52"/>
  <c r="I79" i="52" s="1" a="1"/>
  <c r="I79" i="52" s="1"/>
  <c r="D101" i="51"/>
  <c r="D100" i="51"/>
  <c r="O9" i="63"/>
  <c r="O6" i="63"/>
  <c r="A58" i="36"/>
  <c r="D55" i="51" l="1"/>
  <c r="D94" i="51" s="1"/>
  <c r="D64" i="51"/>
  <c r="D159" i="51" s="1"/>
  <c r="D102" i="51"/>
  <c r="G10" i="51"/>
  <c r="D96" i="51" l="1"/>
  <c r="A87" i="64"/>
  <c r="A82" i="64"/>
  <c r="D61" i="12" l="1"/>
  <c r="D62" i="12"/>
  <c r="S68" i="36"/>
  <c r="T68" i="36" a="1"/>
  <c r="T68" i="36" s="1"/>
  <c r="S69" i="36"/>
  <c r="T69" i="36" a="1"/>
  <c r="T69" i="36" s="1"/>
  <c r="S70" i="36"/>
  <c r="T70" i="36" a="1"/>
  <c r="T70" i="36" s="1"/>
  <c r="S86" i="36"/>
  <c r="T86" i="36" a="1"/>
  <c r="T86" i="36" s="1"/>
  <c r="E114" i="5"/>
  <c r="D114" i="5"/>
  <c r="CL14" i="52"/>
  <c r="A66" i="64" l="1"/>
  <c r="A26" i="64" l="1"/>
  <c r="A25" i="64"/>
  <c r="A14" i="64"/>
  <c r="A15" i="64"/>
  <c r="DM17" i="52"/>
  <c r="EB24" i="52"/>
  <c r="DM23" i="52"/>
  <c r="DP24" i="52" s="1"/>
  <c r="D106" i="52"/>
  <c r="E106" i="52"/>
  <c r="H106" i="52"/>
  <c r="K106" i="52"/>
  <c r="L106" i="52"/>
  <c r="M106" i="52"/>
  <c r="N106" i="52"/>
  <c r="O106" i="52"/>
  <c r="P106" i="52"/>
  <c r="Q106" i="52"/>
  <c r="R106" i="52"/>
  <c r="S106" i="52"/>
  <c r="T106" i="52"/>
  <c r="U106" i="52"/>
  <c r="V106" i="52"/>
  <c r="W106" i="52"/>
  <c r="X106" i="52"/>
  <c r="Z106" i="52"/>
  <c r="AA106" i="52"/>
  <c r="AB106" i="52"/>
  <c r="AC106" i="52"/>
  <c r="AD106" i="52"/>
  <c r="AF106" i="52"/>
  <c r="AG106" i="52"/>
  <c r="AH106" i="52"/>
  <c r="AI106" i="52"/>
  <c r="AJ106" i="52"/>
  <c r="AZ106" i="52"/>
  <c r="BA106" i="52"/>
  <c r="BB106" i="52"/>
  <c r="BD106" i="52"/>
  <c r="BE106" i="52"/>
  <c r="BF106" i="52"/>
  <c r="BG106" i="52"/>
  <c r="BH106" i="52"/>
  <c r="BI106" i="52"/>
  <c r="BJ106" i="52"/>
  <c r="BK106" i="52"/>
  <c r="BL106" i="52"/>
  <c r="BM106" i="52"/>
  <c r="BN106" i="52"/>
  <c r="BO106" i="52"/>
  <c r="BP106" i="52"/>
  <c r="BQ106" i="52"/>
  <c r="BR106" i="52"/>
  <c r="BS106" i="52"/>
  <c r="BT106" i="52"/>
  <c r="BU106" i="52"/>
  <c r="BV106" i="52"/>
  <c r="BW106" i="52"/>
  <c r="BX106" i="52"/>
  <c r="BY106" i="52"/>
  <c r="BZ106" i="52"/>
  <c r="CB106" i="52"/>
  <c r="CC106" i="52"/>
  <c r="CH106" i="52"/>
  <c r="CI106" i="52"/>
  <c r="CJ106" i="52"/>
  <c r="CL106" i="52"/>
  <c r="CM106" i="52"/>
  <c r="CN106" i="52"/>
  <c r="CO106" i="52"/>
  <c r="CP106" i="52"/>
  <c r="CQ106" i="52"/>
  <c r="CR106" i="52"/>
  <c r="CS106" i="52"/>
  <c r="CT106" i="52"/>
  <c r="CU106" i="52"/>
  <c r="CV106" i="52"/>
  <c r="CW106" i="52"/>
  <c r="CY106" i="52"/>
  <c r="CZ106" i="52"/>
  <c r="DA106" i="52"/>
  <c r="DB106" i="52"/>
  <c r="DC106" i="52"/>
  <c r="DD106" i="52"/>
  <c r="E151" i="51"/>
  <c r="J151" i="51"/>
  <c r="K151" i="51"/>
  <c r="L151" i="51"/>
  <c r="M151" i="51"/>
  <c r="N151" i="51"/>
  <c r="O151" i="51"/>
  <c r="Q151" i="51"/>
  <c r="R151" i="51"/>
  <c r="S151" i="51"/>
  <c r="T151" i="51"/>
  <c r="U151" i="51"/>
  <c r="V151" i="51"/>
  <c r="W151" i="51"/>
  <c r="X151" i="51"/>
  <c r="Y151" i="51"/>
  <c r="Z151" i="51"/>
  <c r="AA151" i="51"/>
  <c r="AB151" i="51"/>
  <c r="AC151" i="51"/>
  <c r="AD151" i="51"/>
  <c r="AE151" i="51"/>
  <c r="C151" i="51"/>
  <c r="E58" i="52"/>
  <c r="AE68" i="51"/>
  <c r="A42" i="55"/>
  <c r="J58" i="52"/>
  <c r="K58" i="52"/>
  <c r="L58" i="52"/>
  <c r="M58" i="52"/>
  <c r="N58" i="52"/>
  <c r="O58" i="52"/>
  <c r="P58" i="52"/>
  <c r="Q58" i="52"/>
  <c r="R58" i="52"/>
  <c r="S58" i="52"/>
  <c r="T58" i="52"/>
  <c r="U58" i="52"/>
  <c r="V58" i="52"/>
  <c r="W58" i="52"/>
  <c r="X58" i="52"/>
  <c r="Z58" i="52"/>
  <c r="AA58" i="52"/>
  <c r="AB58" i="52"/>
  <c r="AC58" i="52"/>
  <c r="AD58" i="52"/>
  <c r="AF58" i="52"/>
  <c r="AG58" i="52"/>
  <c r="AH58" i="52"/>
  <c r="AI58" i="52"/>
  <c r="AJ58" i="52"/>
  <c r="AZ58" i="52"/>
  <c r="BA58" i="52"/>
  <c r="BB58" i="52"/>
  <c r="BD58" i="52"/>
  <c r="BE58" i="52"/>
  <c r="BF58" i="52"/>
  <c r="BG58" i="52"/>
  <c r="BH58" i="52"/>
  <c r="BI58" i="52"/>
  <c r="BJ58" i="52"/>
  <c r="BK58" i="52"/>
  <c r="BL58" i="52"/>
  <c r="BM58" i="52"/>
  <c r="BN58" i="52"/>
  <c r="BO58" i="52"/>
  <c r="BP58" i="52"/>
  <c r="BQ58" i="52"/>
  <c r="BR58" i="52"/>
  <c r="BS58" i="52"/>
  <c r="BT58" i="52"/>
  <c r="BU58" i="52"/>
  <c r="BV58" i="52"/>
  <c r="BW58" i="52"/>
  <c r="BX58" i="52"/>
  <c r="BY58" i="52"/>
  <c r="BZ58" i="52"/>
  <c r="CA58" i="52"/>
  <c r="CB58" i="52"/>
  <c r="CC58" i="52"/>
  <c r="CH58" i="52"/>
  <c r="CI58" i="52"/>
  <c r="CJ58" i="52"/>
  <c r="CK58" i="52"/>
  <c r="CL58" i="52"/>
  <c r="CM58" i="52"/>
  <c r="CN58" i="52"/>
  <c r="CO58" i="52"/>
  <c r="CP58" i="52"/>
  <c r="CQ58" i="52"/>
  <c r="CR58" i="52"/>
  <c r="CS58" i="52"/>
  <c r="CT58" i="52"/>
  <c r="CU58" i="52"/>
  <c r="CV58" i="52"/>
  <c r="CW58" i="52"/>
  <c r="CX58" i="52"/>
  <c r="CY58" i="52"/>
  <c r="CZ58" i="52"/>
  <c r="DA58" i="52"/>
  <c r="DB58" i="52"/>
  <c r="DC58" i="52"/>
  <c r="DD58" i="52"/>
  <c r="C58" i="52"/>
  <c r="DR24" i="52" l="1"/>
  <c r="ED24" i="52"/>
  <c r="DO23" i="52"/>
  <c r="E20" i="20" l="1"/>
  <c r="C47" i="51"/>
  <c r="S26" i="36"/>
  <c r="T26" i="36" a="1"/>
  <c r="T26" i="36" s="1"/>
  <c r="S27" i="36"/>
  <c r="T27" i="36" a="1"/>
  <c r="T27" i="36" s="1"/>
  <c r="S29" i="36"/>
  <c r="T29" i="36" a="1"/>
  <c r="T29" i="36" s="1"/>
  <c r="S30" i="36"/>
  <c r="T30" i="36" a="1"/>
  <c r="T30" i="36" s="1"/>
  <c r="G61" i="12"/>
  <c r="H61" i="12"/>
  <c r="G62" i="12"/>
  <c r="H62" i="12"/>
  <c r="H47" i="12"/>
  <c r="H48" i="12"/>
  <c r="H49" i="12"/>
  <c r="D47" i="12"/>
  <c r="G47" i="12" s="1"/>
  <c r="D48" i="12"/>
  <c r="G48" i="12" s="1"/>
  <c r="D49" i="12"/>
  <c r="G49" i="12" s="1"/>
  <c r="H27" i="12"/>
  <c r="H28" i="12"/>
  <c r="H29" i="12"/>
  <c r="D27" i="12"/>
  <c r="G27" i="12" s="1"/>
  <c r="D28" i="12"/>
  <c r="G28" i="12" s="1"/>
  <c r="D29" i="12"/>
  <c r="G29" i="12" s="1"/>
  <c r="H9" i="12"/>
  <c r="H10" i="12"/>
  <c r="H11" i="12"/>
  <c r="D9" i="12"/>
  <c r="G9" i="12" s="1"/>
  <c r="D10" i="12"/>
  <c r="G10" i="12" s="1"/>
  <c r="D11" i="12"/>
  <c r="G11" i="12" s="1"/>
  <c r="B123" i="8"/>
  <c r="B10" i="1"/>
  <c r="B8" i="1"/>
  <c r="A12" i="55"/>
  <c r="A8" i="55"/>
  <c r="B8" i="55"/>
  <c r="D66" i="51" s="1"/>
  <c r="A7" i="55"/>
  <c r="A6" i="55"/>
  <c r="D161" i="51" l="1"/>
  <c r="D169" i="51" s="1"/>
  <c r="D67" i="51"/>
  <c r="D68" i="51"/>
  <c r="A5" i="55"/>
  <c r="A4" i="55"/>
  <c r="D171" i="51" l="1"/>
  <c r="P9" i="63"/>
  <c r="AJ42" i="51"/>
  <c r="AJ30" i="51"/>
  <c r="AJ16" i="51"/>
  <c r="AJ5" i="51"/>
  <c r="E162" i="51"/>
  <c r="G162" i="51"/>
  <c r="H162" i="51"/>
  <c r="I162" i="51"/>
  <c r="J162" i="51"/>
  <c r="K162" i="51"/>
  <c r="L162" i="51"/>
  <c r="M162" i="51"/>
  <c r="N162" i="51"/>
  <c r="O162" i="51"/>
  <c r="P162" i="51"/>
  <c r="Q162" i="51"/>
  <c r="R162" i="51"/>
  <c r="S162" i="51"/>
  <c r="T162" i="51"/>
  <c r="U162" i="51"/>
  <c r="V162" i="51"/>
  <c r="W162" i="51"/>
  <c r="X162" i="51"/>
  <c r="Y162" i="51"/>
  <c r="Z162" i="51"/>
  <c r="AA162" i="51"/>
  <c r="AB162" i="51"/>
  <c r="AC162" i="51"/>
  <c r="AD162" i="51"/>
  <c r="AE162" i="51"/>
  <c r="C162" i="51"/>
  <c r="DS17" i="52"/>
  <c r="DV17" i="52" s="1"/>
  <c r="DY17" i="52" s="1"/>
  <c r="EB18" i="52" s="1"/>
  <c r="DM26" i="52"/>
  <c r="J109" i="52"/>
  <c r="K109" i="52"/>
  <c r="L109" i="52"/>
  <c r="M109" i="52"/>
  <c r="N109" i="52"/>
  <c r="O109" i="52"/>
  <c r="P109" i="52"/>
  <c r="Q109" i="52"/>
  <c r="R109" i="52"/>
  <c r="S109" i="52"/>
  <c r="T109" i="52"/>
  <c r="U109" i="52"/>
  <c r="V109" i="52"/>
  <c r="W109" i="52"/>
  <c r="X109" i="52"/>
  <c r="Z109" i="52"/>
  <c r="AA109" i="52"/>
  <c r="AB109" i="52"/>
  <c r="AC109" i="52"/>
  <c r="AD109" i="52"/>
  <c r="AF109" i="52"/>
  <c r="AG109" i="52"/>
  <c r="AH109" i="52"/>
  <c r="AI109" i="52"/>
  <c r="AJ109" i="52"/>
  <c r="AZ109" i="52"/>
  <c r="BA109" i="52"/>
  <c r="BB109" i="52"/>
  <c r="BD109" i="52"/>
  <c r="BE109" i="52"/>
  <c r="BF109" i="52"/>
  <c r="BG109" i="52"/>
  <c r="BH109" i="52"/>
  <c r="BI109" i="52"/>
  <c r="BJ109" i="52"/>
  <c r="BK109" i="52"/>
  <c r="BL109" i="52"/>
  <c r="BM109" i="52"/>
  <c r="BN109" i="52"/>
  <c r="BO109" i="52"/>
  <c r="BP109" i="52"/>
  <c r="BQ109" i="52"/>
  <c r="BR109" i="52"/>
  <c r="BS109" i="52"/>
  <c r="BT109" i="52"/>
  <c r="BU109" i="52"/>
  <c r="BV109" i="52"/>
  <c r="BW109" i="52"/>
  <c r="BX109" i="52"/>
  <c r="BY109" i="52"/>
  <c r="BZ109" i="52"/>
  <c r="CA109" i="52"/>
  <c r="CB109" i="52"/>
  <c r="CC109" i="52"/>
  <c r="CH109" i="52"/>
  <c r="CI109" i="52"/>
  <c r="CJ109" i="52"/>
  <c r="CK109" i="52"/>
  <c r="CL109" i="52"/>
  <c r="CM109" i="52"/>
  <c r="CN109" i="52"/>
  <c r="CO109" i="52"/>
  <c r="CP109" i="52"/>
  <c r="CQ109" i="52"/>
  <c r="CR109" i="52"/>
  <c r="CS109" i="52"/>
  <c r="CT109" i="52"/>
  <c r="CU109" i="52"/>
  <c r="CV109" i="52"/>
  <c r="CW109" i="52"/>
  <c r="CX109" i="52"/>
  <c r="CY109" i="52"/>
  <c r="CZ109" i="52"/>
  <c r="DA109" i="52"/>
  <c r="DB109" i="52"/>
  <c r="DC109" i="52"/>
  <c r="DD109" i="52"/>
  <c r="D109" i="52"/>
  <c r="E109" i="52"/>
  <c r="G109" i="52"/>
  <c r="H109" i="52"/>
  <c r="C109" i="52"/>
  <c r="DO26" i="52" l="1"/>
  <c r="DL26" i="52"/>
  <c r="ED18" i="52"/>
  <c r="EA17" i="52"/>
  <c r="DU17" i="52"/>
  <c r="DX17" i="52"/>
  <c r="DR18" i="52"/>
  <c r="AJ39" i="51"/>
  <c r="F26" i="20"/>
  <c r="E26" i="20"/>
  <c r="F20" i="20"/>
  <c r="F24" i="5"/>
  <c r="D20" i="20"/>
  <c r="K7" i="28"/>
  <c r="K18" i="28"/>
  <c r="K12" i="28"/>
  <c r="D35" i="55" l="1"/>
  <c r="G47" i="51" l="1"/>
  <c r="G49" i="51" s="1"/>
  <c r="G52" i="51"/>
  <c r="I51" i="51"/>
  <c r="I52" i="51" s="1"/>
  <c r="K49" i="51"/>
  <c r="J51" i="51"/>
  <c r="J52" i="51" s="1"/>
  <c r="K51" i="51"/>
  <c r="K52" i="51"/>
  <c r="L49" i="51"/>
  <c r="M49" i="51"/>
  <c r="L51" i="51"/>
  <c r="M51" i="51"/>
  <c r="L52" i="51"/>
  <c r="M52" i="51"/>
  <c r="O49" i="51"/>
  <c r="P49" i="51"/>
  <c r="Q49" i="51"/>
  <c r="O51" i="51"/>
  <c r="P51" i="51"/>
  <c r="Q51" i="51"/>
  <c r="O52" i="51"/>
  <c r="P52" i="51"/>
  <c r="Q52" i="51"/>
  <c r="R49" i="51"/>
  <c r="S49" i="51"/>
  <c r="T49" i="51"/>
  <c r="R51" i="51"/>
  <c r="S51" i="51"/>
  <c r="T51" i="51"/>
  <c r="R52" i="51"/>
  <c r="S52" i="51"/>
  <c r="T52" i="51"/>
  <c r="U49" i="51"/>
  <c r="V49" i="51"/>
  <c r="W49" i="51"/>
  <c r="U51" i="51"/>
  <c r="V51" i="51"/>
  <c r="W51" i="51"/>
  <c r="U52" i="51"/>
  <c r="V52" i="51"/>
  <c r="W52" i="51"/>
  <c r="X49" i="51"/>
  <c r="Y49" i="51"/>
  <c r="Z49" i="51"/>
  <c r="X51" i="51"/>
  <c r="Y51" i="51"/>
  <c r="Z51" i="51"/>
  <c r="X52" i="51"/>
  <c r="Y52" i="51"/>
  <c r="Z52" i="51"/>
  <c r="AB49" i="51"/>
  <c r="AA51" i="51"/>
  <c r="AA52" i="51" s="1"/>
  <c r="AB51" i="51"/>
  <c r="AB52" i="51"/>
  <c r="AC51" i="51"/>
  <c r="AC52" i="51" s="1"/>
  <c r="E51" i="51"/>
  <c r="E52" i="51" s="1"/>
  <c r="F81" i="5"/>
  <c r="F80" i="5"/>
  <c r="F75" i="5"/>
  <c r="G75" i="5" s="1"/>
  <c r="F70" i="5"/>
  <c r="E163" i="32"/>
  <c r="F163" i="32"/>
  <c r="E158" i="32"/>
  <c r="F158" i="32"/>
  <c r="E133" i="32"/>
  <c r="F133" i="32"/>
  <c r="F139" i="32"/>
  <c r="E143" i="32"/>
  <c r="F143" i="32"/>
  <c r="E147" i="32"/>
  <c r="F147" i="32"/>
  <c r="E151" i="32"/>
  <c r="E130" i="5" s="1"/>
  <c r="F151" i="32"/>
  <c r="A123" i="32"/>
  <c r="F6" i="32"/>
  <c r="E6" i="32"/>
  <c r="E11" i="32"/>
  <c r="F11" i="32"/>
  <c r="E15" i="32"/>
  <c r="F15" i="32"/>
  <c r="E23" i="32"/>
  <c r="F23" i="32"/>
  <c r="E31" i="32"/>
  <c r="F31" i="32"/>
  <c r="E35" i="32"/>
  <c r="F35" i="32"/>
  <c r="E43" i="32"/>
  <c r="F43" i="32"/>
  <c r="E51" i="32"/>
  <c r="F51" i="32"/>
  <c r="E58" i="32"/>
  <c r="F58" i="32"/>
  <c r="E62" i="32"/>
  <c r="F62" i="32"/>
  <c r="E75" i="32"/>
  <c r="F75" i="32"/>
  <c r="E81" i="32"/>
  <c r="F81" i="32"/>
  <c r="E98" i="32"/>
  <c r="F98" i="32"/>
  <c r="F105" i="32"/>
  <c r="E105" i="32"/>
  <c r="E109" i="32"/>
  <c r="F109" i="32"/>
  <c r="E113" i="32"/>
  <c r="F64" i="5" s="1"/>
  <c r="F113" i="32"/>
  <c r="E122" i="32"/>
  <c r="F122" i="32"/>
  <c r="F46" i="23"/>
  <c r="F57" i="5"/>
  <c r="E45" i="23"/>
  <c r="F58" i="5" s="1"/>
  <c r="F45" i="23"/>
  <c r="F40" i="23"/>
  <c r="E40" i="23"/>
  <c r="D40" i="23"/>
  <c r="E39" i="23"/>
  <c r="F39" i="23"/>
  <c r="F35" i="23"/>
  <c r="E35" i="23"/>
  <c r="F10" i="23"/>
  <c r="E15" i="23"/>
  <c r="F15" i="23"/>
  <c r="E19" i="23"/>
  <c r="F19" i="23"/>
  <c r="E27" i="23"/>
  <c r="F27" i="23"/>
  <c r="D27" i="23"/>
  <c r="E10" i="23"/>
  <c r="E65" i="24"/>
  <c r="F208" i="36"/>
  <c r="F185" i="36"/>
  <c r="E185" i="36"/>
  <c r="F178" i="36"/>
  <c r="E178" i="36"/>
  <c r="F171" i="36"/>
  <c r="E171" i="36"/>
  <c r="D126" i="5" s="1"/>
  <c r="F165" i="36"/>
  <c r="E165" i="36"/>
  <c r="F153" i="36"/>
  <c r="E153" i="36"/>
  <c r="F146" i="36"/>
  <c r="E146" i="36"/>
  <c r="F136" i="36"/>
  <c r="E136" i="36"/>
  <c r="F125" i="36"/>
  <c r="E125" i="36"/>
  <c r="F129" i="20"/>
  <c r="E129" i="20"/>
  <c r="F40" i="5" s="1"/>
  <c r="F112" i="20"/>
  <c r="F109" i="20"/>
  <c r="E109" i="20"/>
  <c r="F92" i="20"/>
  <c r="E92" i="20"/>
  <c r="F86" i="20"/>
  <c r="E86" i="20"/>
  <c r="F79" i="20"/>
  <c r="E79" i="20"/>
  <c r="E124" i="5" s="1"/>
  <c r="F72" i="20"/>
  <c r="E72" i="20"/>
  <c r="F63" i="20"/>
  <c r="E63" i="20"/>
  <c r="F59" i="20"/>
  <c r="E59" i="20"/>
  <c r="F52" i="20"/>
  <c r="E52" i="20"/>
  <c r="F39" i="20"/>
  <c r="E39" i="20"/>
  <c r="F32" i="20"/>
  <c r="E32" i="20"/>
  <c r="D124" i="5" l="1"/>
  <c r="F113" i="20"/>
  <c r="D130" i="5"/>
  <c r="F76" i="5"/>
  <c r="D129" i="5"/>
  <c r="E129" i="5"/>
  <c r="D127" i="5"/>
  <c r="E127" i="5"/>
  <c r="E126" i="5"/>
  <c r="F186" i="36"/>
  <c r="E125" i="5"/>
  <c r="A66" i="51"/>
  <c r="AZ92" i="52" l="1"/>
  <c r="BA92" i="52"/>
  <c r="W92" i="52"/>
  <c r="V92" i="52"/>
  <c r="W91" i="52"/>
  <c r="V91" i="52"/>
  <c r="BM92" i="52"/>
  <c r="BN92" i="52"/>
  <c r="BZ92" i="52"/>
  <c r="BY92" i="52"/>
  <c r="BZ91" i="52"/>
  <c r="BY91" i="52"/>
  <c r="CJ92" i="52"/>
  <c r="CI92" i="52"/>
  <c r="CJ91" i="52"/>
  <c r="CI91" i="52"/>
  <c r="CW92" i="52"/>
  <c r="CV92" i="52"/>
  <c r="CW91" i="52"/>
  <c r="CV91" i="52"/>
  <c r="DD91" i="52"/>
  <c r="DD92" i="52"/>
  <c r="DC91" i="52"/>
  <c r="DC92" i="52"/>
  <c r="AE104" i="51"/>
  <c r="AE105" i="51" s="1"/>
  <c r="AD104" i="51"/>
  <c r="AD106" i="51" s="1"/>
  <c r="BD91" i="52"/>
  <c r="BE91" i="52" s="1"/>
  <c r="BF91" i="52" s="1"/>
  <c r="BG91" i="52" s="1"/>
  <c r="BH91" i="52" s="1"/>
  <c r="BI91" i="52" s="1"/>
  <c r="BJ91" i="52" s="1"/>
  <c r="BK91" i="52" s="1"/>
  <c r="BL91" i="52" s="1"/>
  <c r="BD92" i="52"/>
  <c r="BE92" i="52"/>
  <c r="BF92" i="52"/>
  <c r="BG92" i="52"/>
  <c r="BH92" i="52"/>
  <c r="BI92" i="52"/>
  <c r="BJ92" i="52"/>
  <c r="BK92" i="52"/>
  <c r="BL92" i="52"/>
  <c r="BB92" i="52"/>
  <c r="AB92" i="52"/>
  <c r="AC92" i="52"/>
  <c r="AD92" i="52"/>
  <c r="AF92" i="52"/>
  <c r="AG92" i="52"/>
  <c r="AH92" i="52"/>
  <c r="AI92" i="52"/>
  <c r="AJ92" i="52"/>
  <c r="Z92" i="52"/>
  <c r="AA92" i="52"/>
  <c r="X92" i="52"/>
  <c r="D91" i="52"/>
  <c r="E91" i="52"/>
  <c r="G91" i="52"/>
  <c r="H91" i="52"/>
  <c r="J91" i="52"/>
  <c r="K91" i="52"/>
  <c r="L91" i="52"/>
  <c r="M91" i="52"/>
  <c r="N91" i="52"/>
  <c r="O91" i="52"/>
  <c r="P91" i="52"/>
  <c r="Q91" i="52"/>
  <c r="R91" i="52"/>
  <c r="S91" i="52"/>
  <c r="T91" i="52"/>
  <c r="U91" i="52"/>
  <c r="BO91" i="52"/>
  <c r="BP91" i="52"/>
  <c r="BQ91" i="52"/>
  <c r="BR91" i="52"/>
  <c r="BS91" i="52"/>
  <c r="BT91" i="52"/>
  <c r="BU91" i="52"/>
  <c r="BV91" i="52"/>
  <c r="BW91" i="52"/>
  <c r="BX91" i="52"/>
  <c r="CA91" i="52"/>
  <c r="CB91" i="52"/>
  <c r="CC91" i="52"/>
  <c r="CH91" i="52"/>
  <c r="CK91" i="52"/>
  <c r="CL91" i="52"/>
  <c r="CM91" i="52"/>
  <c r="CN91" i="52"/>
  <c r="CO91" i="52"/>
  <c r="CP91" i="52"/>
  <c r="CQ91" i="52"/>
  <c r="CR91" i="52"/>
  <c r="CS91" i="52"/>
  <c r="CT91" i="52"/>
  <c r="CU91" i="52"/>
  <c r="CX91" i="52"/>
  <c r="CY91" i="52"/>
  <c r="CZ91" i="52"/>
  <c r="DA91" i="52"/>
  <c r="DB91" i="52"/>
  <c r="D92" i="52"/>
  <c r="E92" i="52"/>
  <c r="G92" i="52"/>
  <c r="H92" i="52"/>
  <c r="J92" i="52"/>
  <c r="K92" i="52"/>
  <c r="L92" i="52"/>
  <c r="M92" i="52"/>
  <c r="N92" i="52"/>
  <c r="O92" i="52"/>
  <c r="P92" i="52"/>
  <c r="Q92" i="52"/>
  <c r="R92" i="52"/>
  <c r="S92" i="52"/>
  <c r="T92" i="52"/>
  <c r="U92" i="52"/>
  <c r="BO92" i="52"/>
  <c r="BP92" i="52"/>
  <c r="BQ92" i="52"/>
  <c r="BR92" i="52"/>
  <c r="BS92" i="52"/>
  <c r="BT92" i="52"/>
  <c r="BU92" i="52"/>
  <c r="BV92" i="52"/>
  <c r="BW92" i="52"/>
  <c r="BX92" i="52"/>
  <c r="CA92" i="52"/>
  <c r="CB92" i="52"/>
  <c r="CC92" i="52"/>
  <c r="CH92" i="52"/>
  <c r="CK92" i="52"/>
  <c r="CL92" i="52"/>
  <c r="CM92" i="52"/>
  <c r="CN92" i="52"/>
  <c r="CO92" i="52"/>
  <c r="CP92" i="52"/>
  <c r="CQ92" i="52"/>
  <c r="CR92" i="52"/>
  <c r="CS92" i="52"/>
  <c r="CT92" i="52"/>
  <c r="CU92" i="52"/>
  <c r="CX92" i="52"/>
  <c r="CY92" i="52"/>
  <c r="CZ92" i="52"/>
  <c r="DA92" i="52"/>
  <c r="DB92" i="52"/>
  <c r="C92" i="52"/>
  <c r="C91" i="52"/>
  <c r="B90" i="52"/>
  <c r="B86" i="52"/>
  <c r="B92" i="52"/>
  <c r="B91" i="52"/>
  <c r="E104" i="51"/>
  <c r="E106" i="51" s="1"/>
  <c r="G104" i="51"/>
  <c r="G106" i="51" s="1"/>
  <c r="H104" i="51"/>
  <c r="H106" i="51" s="1"/>
  <c r="I104" i="51"/>
  <c r="I106" i="51" s="1"/>
  <c r="J104" i="51"/>
  <c r="J105" i="51" s="1"/>
  <c r="K104" i="51"/>
  <c r="K106" i="51" s="1"/>
  <c r="L104" i="51"/>
  <c r="L105" i="51" s="1"/>
  <c r="M104" i="51"/>
  <c r="M106" i="51" s="1"/>
  <c r="N104" i="51"/>
  <c r="N106" i="51" s="1"/>
  <c r="O104" i="51"/>
  <c r="O106" i="51" s="1"/>
  <c r="P104" i="51"/>
  <c r="P106" i="51" s="1"/>
  <c r="Q104" i="51"/>
  <c r="Q106" i="51" s="1"/>
  <c r="R104" i="51"/>
  <c r="R106" i="51" s="1"/>
  <c r="S104" i="51"/>
  <c r="S105" i="51" s="1"/>
  <c r="T104" i="51"/>
  <c r="T105" i="51" s="1"/>
  <c r="U104" i="51"/>
  <c r="U106" i="51" s="1"/>
  <c r="V104" i="51"/>
  <c r="V106" i="51" s="1"/>
  <c r="W104" i="51"/>
  <c r="W106" i="51" s="1"/>
  <c r="X104" i="51"/>
  <c r="X106" i="51" s="1"/>
  <c r="Y104" i="51"/>
  <c r="Y106" i="51" s="1"/>
  <c r="Z104" i="51"/>
  <c r="Z105" i="51" s="1"/>
  <c r="AA104" i="51"/>
  <c r="AA105" i="51" s="1"/>
  <c r="AB104" i="51"/>
  <c r="AB106" i="51" s="1"/>
  <c r="AC104" i="51"/>
  <c r="AC105" i="51" s="1"/>
  <c r="C104" i="51"/>
  <c r="C106" i="51" s="1"/>
  <c r="A103" i="51"/>
  <c r="A98" i="51"/>
  <c r="B106" i="51"/>
  <c r="B105" i="51"/>
  <c r="A105" i="51"/>
  <c r="A106" i="51" s="1"/>
  <c r="A107" i="51" s="1"/>
  <c r="A85" i="52"/>
  <c r="A84" i="52"/>
  <c r="A13" i="52"/>
  <c r="A12" i="52"/>
  <c r="A11" i="52"/>
  <c r="B96" i="51"/>
  <c r="B94" i="51"/>
  <c r="B95" i="51"/>
  <c r="B93" i="51"/>
  <c r="B91" i="51"/>
  <c r="B92" i="51"/>
  <c r="A95" i="51"/>
  <c r="A93" i="51"/>
  <c r="A91" i="51"/>
  <c r="A7" i="51"/>
  <c r="A8" i="51"/>
  <c r="A9" i="51"/>
  <c r="A11" i="51"/>
  <c r="DC85" i="52"/>
  <c r="DC84" i="52"/>
  <c r="CV85" i="52"/>
  <c r="CV84" i="52"/>
  <c r="CI85" i="52"/>
  <c r="CI84" i="52"/>
  <c r="BY85" i="52"/>
  <c r="BY84" i="52"/>
  <c r="BM85" i="52"/>
  <c r="BM84" i="52"/>
  <c r="AZ85" i="52"/>
  <c r="AZ84" i="52"/>
  <c r="V85" i="52"/>
  <c r="V84" i="52"/>
  <c r="F138" i="32"/>
  <c r="F137" i="32"/>
  <c r="F136" i="32"/>
  <c r="K3" i="28"/>
  <c r="M23" i="28"/>
  <c r="L23" i="28"/>
  <c r="M17" i="28"/>
  <c r="L17" i="28"/>
  <c r="M11" i="28"/>
  <c r="L11" i="28"/>
  <c r="M18" i="28"/>
  <c r="L18" i="28"/>
  <c r="M12" i="28"/>
  <c r="L12" i="28"/>
  <c r="M7" i="28"/>
  <c r="L7" i="28"/>
  <c r="L6" i="28"/>
  <c r="M6" i="28"/>
  <c r="F135" i="32" s="1"/>
  <c r="M3" i="28"/>
  <c r="L3" i="28"/>
  <c r="J18" i="28"/>
  <c r="J12" i="28"/>
  <c r="J7" i="28"/>
  <c r="J3" i="28"/>
  <c r="E123" i="5"/>
  <c r="D123" i="5"/>
  <c r="E112" i="5"/>
  <c r="D112" i="5"/>
  <c r="F72" i="5"/>
  <c r="G72" i="5" s="1"/>
  <c r="F125" i="32"/>
  <c r="F97" i="24"/>
  <c r="F88" i="24"/>
  <c r="F81" i="24"/>
  <c r="F76" i="24"/>
  <c r="F71" i="24"/>
  <c r="F50" i="5"/>
  <c r="G50" i="5" s="1"/>
  <c r="F65" i="24"/>
  <c r="F55" i="24"/>
  <c r="F38" i="24"/>
  <c r="F42" i="24"/>
  <c r="F46" i="24"/>
  <c r="F32" i="24"/>
  <c r="F25" i="24"/>
  <c r="F16" i="24"/>
  <c r="F9" i="24"/>
  <c r="F138" i="36"/>
  <c r="F148" i="36" s="1"/>
  <c r="F155" i="36" s="1"/>
  <c r="F167" i="36" s="1"/>
  <c r="F173" i="36" s="1"/>
  <c r="F180" i="36" s="1"/>
  <c r="F131" i="20"/>
  <c r="F130" i="20"/>
  <c r="V105" i="51" l="1"/>
  <c r="Y105" i="51"/>
  <c r="X105" i="51"/>
  <c r="W105" i="51"/>
  <c r="AD105" i="51"/>
  <c r="AD107" i="51" s="1"/>
  <c r="Q105" i="51"/>
  <c r="E105" i="51"/>
  <c r="C105" i="51"/>
  <c r="AC106" i="51"/>
  <c r="AE106" i="51"/>
  <c r="AE107" i="51" s="1"/>
  <c r="Z106" i="51"/>
  <c r="U105" i="51"/>
  <c r="T106" i="51"/>
  <c r="S106" i="51"/>
  <c r="AB105" i="51"/>
  <c r="AA106" i="51"/>
  <c r="R105" i="51"/>
  <c r="J106" i="51"/>
  <c r="L106" i="51"/>
  <c r="K105" i="51"/>
  <c r="I105" i="51"/>
  <c r="P105" i="51"/>
  <c r="H105" i="51"/>
  <c r="O105" i="51"/>
  <c r="G105" i="51"/>
  <c r="N105" i="51"/>
  <c r="M105" i="51"/>
  <c r="CW93" i="52"/>
  <c r="DD93" i="52"/>
  <c r="BA93" i="52"/>
  <c r="BO57" i="52"/>
  <c r="BO56" i="52"/>
  <c r="BZ111" i="52"/>
  <c r="BY111" i="52"/>
  <c r="BZ110" i="52"/>
  <c r="BY110" i="52"/>
  <c r="BX79" i="52" a="1"/>
  <c r="BX79" i="52" s="1"/>
  <c r="BW79" i="52" a="1"/>
  <c r="BW79" i="52" s="1"/>
  <c r="BV79" i="52" a="1"/>
  <c r="BV79" i="52" s="1"/>
  <c r="BU79" i="52" a="1"/>
  <c r="BU79" i="52" s="1"/>
  <c r="BT79" i="52" a="1"/>
  <c r="BT79" i="52" s="1"/>
  <c r="BS79" i="52" a="1"/>
  <c r="BS79" i="52" s="1"/>
  <c r="BR79" i="52" a="1"/>
  <c r="BR79" i="52" s="1"/>
  <c r="BQ79" i="52" a="1"/>
  <c r="BQ79" i="52" s="1"/>
  <c r="BP79" i="52" a="1"/>
  <c r="BP79" i="52" s="1"/>
  <c r="BO79" i="52" a="1"/>
  <c r="BO79" i="52" s="1"/>
  <c r="BZ68" i="52"/>
  <c r="BY68" i="52"/>
  <c r="BX68" i="52"/>
  <c r="BW68" i="52"/>
  <c r="BV68" i="52"/>
  <c r="BU68" i="52"/>
  <c r="BT68" i="52"/>
  <c r="BS68" i="52"/>
  <c r="BR68" i="52"/>
  <c r="BQ68" i="52"/>
  <c r="BP68" i="52"/>
  <c r="BO68" i="52"/>
  <c r="BW76" i="52"/>
  <c r="BT76" i="52"/>
  <c r="BU26" i="52"/>
  <c r="BT26" i="52"/>
  <c r="BS26" i="52"/>
  <c r="BZ14" i="52"/>
  <c r="BZ112" i="52" s="1"/>
  <c r="BY14" i="52"/>
  <c r="BY112" i="52" s="1"/>
  <c r="BX14" i="52"/>
  <c r="BW14" i="52"/>
  <c r="BV14" i="52"/>
  <c r="BU14" i="52"/>
  <c r="BT14" i="52"/>
  <c r="BS14" i="52"/>
  <c r="BR14" i="52"/>
  <c r="BQ14" i="52"/>
  <c r="BP14" i="52"/>
  <c r="BO14" i="52"/>
  <c r="BT77" i="52" l="1"/>
  <c r="BT99" i="52"/>
  <c r="BU77" i="52"/>
  <c r="BU99" i="52"/>
  <c r="BP77" i="52"/>
  <c r="BR77" i="52"/>
  <c r="BQ77" i="52"/>
  <c r="BS77" i="52"/>
  <c r="BS99" i="52"/>
  <c r="BT44" i="52"/>
  <c r="BP51" i="52"/>
  <c r="BP112" i="52"/>
  <c r="BQ51" i="52"/>
  <c r="BQ112" i="52"/>
  <c r="BS51" i="52"/>
  <c r="BS110" i="52" s="1"/>
  <c r="BS112" i="52"/>
  <c r="BU51" i="52"/>
  <c r="BU110" i="52" s="1"/>
  <c r="BU112" i="52"/>
  <c r="BU44" i="52"/>
  <c r="BW112" i="52"/>
  <c r="BR51" i="52"/>
  <c r="BR112" i="52"/>
  <c r="BS44" i="52"/>
  <c r="BT51" i="52"/>
  <c r="BT110" i="52" s="1"/>
  <c r="BT112" i="52"/>
  <c r="BV112" i="52"/>
  <c r="BZ108" i="52"/>
  <c r="BZ88" i="52"/>
  <c r="BZ87" i="52"/>
  <c r="BY88" i="52"/>
  <c r="BY87" i="52"/>
  <c r="F112" i="36"/>
  <c r="BT104" i="52"/>
  <c r="BU104" i="52"/>
  <c r="BZ93" i="52"/>
  <c r="BV104" i="52"/>
  <c r="BW88" i="52"/>
  <c r="BO88" i="52"/>
  <c r="BO104" i="52"/>
  <c r="BZ105" i="52"/>
  <c r="BZ99" i="52"/>
  <c r="BY99" i="52"/>
  <c r="BX88" i="52"/>
  <c r="BR105" i="52"/>
  <c r="BR108" i="52"/>
  <c r="BQ88" i="52"/>
  <c r="BP88" i="52"/>
  <c r="BS108" i="52"/>
  <c r="BS27" i="52"/>
  <c r="BU108" i="52"/>
  <c r="BU76" i="52"/>
  <c r="BZ85" i="52"/>
  <c r="BZ70" i="52"/>
  <c r="BV108" i="52"/>
  <c r="BO108" i="52"/>
  <c r="BW108" i="52"/>
  <c r="BP108" i="52"/>
  <c r="BX108" i="52"/>
  <c r="BQ108" i="52"/>
  <c r="BY108" i="52"/>
  <c r="BO76" i="52"/>
  <c r="BQ76" i="52"/>
  <c r="BS76" i="52"/>
  <c r="BZ84" i="52"/>
  <c r="BT27" i="52"/>
  <c r="BR88" i="52"/>
  <c r="BO100" i="52"/>
  <c r="BW100" i="52"/>
  <c r="BW104" i="52"/>
  <c r="BS105" i="52"/>
  <c r="BU27" i="52"/>
  <c r="BV76" i="52"/>
  <c r="BS88" i="52"/>
  <c r="BP100" i="52"/>
  <c r="BX100" i="52"/>
  <c r="BP104" i="52"/>
  <c r="BX104" i="52"/>
  <c r="BT105" i="52"/>
  <c r="BT108" i="52"/>
  <c r="BT88" i="52"/>
  <c r="BQ100" i="52"/>
  <c r="BY100" i="52"/>
  <c r="BQ104" i="52"/>
  <c r="BY104" i="52"/>
  <c r="BU105" i="52"/>
  <c r="BP76" i="52"/>
  <c r="BX76" i="52"/>
  <c r="BU88" i="52"/>
  <c r="BR100" i="52"/>
  <c r="BZ100" i="52"/>
  <c r="BR104" i="52"/>
  <c r="BZ104" i="52"/>
  <c r="BV105" i="52"/>
  <c r="BV88" i="52"/>
  <c r="BS100" i="52"/>
  <c r="BS104" i="52"/>
  <c r="BO105" i="52"/>
  <c r="BW105" i="52"/>
  <c r="BR76" i="52"/>
  <c r="BT100" i="52"/>
  <c r="BP105" i="52"/>
  <c r="BX105" i="52"/>
  <c r="BU100" i="52"/>
  <c r="BQ105" i="52"/>
  <c r="BY105" i="52"/>
  <c r="BV100" i="52"/>
  <c r="C54" i="51"/>
  <c r="C44" i="51"/>
  <c r="AD52" i="51"/>
  <c r="AE52" i="51"/>
  <c r="E10" i="51"/>
  <c r="H10" i="51"/>
  <c r="J10" i="51"/>
  <c r="K10" i="51"/>
  <c r="L10" i="51"/>
  <c r="M10" i="51"/>
  <c r="N10" i="51"/>
  <c r="O10" i="51"/>
  <c r="P10" i="51"/>
  <c r="Q10" i="51"/>
  <c r="R10" i="51"/>
  <c r="S10" i="51"/>
  <c r="T10" i="51"/>
  <c r="U10" i="51"/>
  <c r="V10" i="51"/>
  <c r="W10" i="51"/>
  <c r="X10" i="51"/>
  <c r="X90" i="51" s="1"/>
  <c r="Y10" i="51"/>
  <c r="Z10" i="51"/>
  <c r="AA10" i="51"/>
  <c r="AA90" i="51" s="1"/>
  <c r="AB10" i="51"/>
  <c r="AB90" i="51" s="1"/>
  <c r="AC10" i="51"/>
  <c r="AC90" i="51" s="1"/>
  <c r="AD10" i="51"/>
  <c r="AD99" i="51" s="1"/>
  <c r="AE10" i="51"/>
  <c r="AE99" i="51" s="1"/>
  <c r="X64" i="51" l="1"/>
  <c r="AC64" i="51"/>
  <c r="AB64" i="51"/>
  <c r="AA64" i="51"/>
  <c r="BS96" i="52"/>
  <c r="ED23" i="52"/>
  <c r="ED14" i="52"/>
  <c r="ED16" i="52"/>
  <c r="ED19" i="52"/>
  <c r="BZ89" i="52"/>
  <c r="BT96" i="52"/>
  <c r="BU96" i="52"/>
  <c r="AB73" i="51"/>
  <c r="AB98" i="51"/>
  <c r="AB103" i="51" s="1"/>
  <c r="AB92" i="51" a="1"/>
  <c r="AB92" i="51" s="1"/>
  <c r="AB176" i="51" l="1"/>
  <c r="AB177" i="51"/>
  <c r="AB178" i="51"/>
  <c r="AB179" i="51"/>
  <c r="AB112" i="51"/>
  <c r="AB113" i="51"/>
  <c r="AB114" i="51"/>
  <c r="AB54" i="51"/>
  <c r="AB44" i="51"/>
  <c r="AB22" i="51"/>
  <c r="AB124" i="51" s="1"/>
  <c r="AB23" i="51"/>
  <c r="AG96" i="51"/>
  <c r="AG94" i="51"/>
  <c r="A53" i="52"/>
  <c r="A52" i="52"/>
  <c r="AB24" i="51" l="1"/>
  <c r="AB99" i="51"/>
  <c r="AB156" i="51"/>
  <c r="AB166" i="51"/>
  <c r="AB121" i="51"/>
  <c r="AB148" i="51"/>
  <c r="T64" i="36" a="1"/>
  <c r="T64" i="36" s="1"/>
  <c r="T23" i="36" a="1"/>
  <c r="T23" i="36" s="1"/>
  <c r="T24" i="36" a="1"/>
  <c r="T24" i="36" s="1"/>
  <c r="T25" i="36" a="1"/>
  <c r="T25" i="36" s="1"/>
  <c r="T35" i="36" a="1"/>
  <c r="T35" i="36" s="1"/>
  <c r="T36" i="36" a="1"/>
  <c r="T36" i="36" s="1"/>
  <c r="AB100" i="51" l="1"/>
  <c r="AB101" i="51"/>
  <c r="S23" i="36"/>
  <c r="S24" i="36"/>
  <c r="S25" i="36"/>
  <c r="S35" i="36"/>
  <c r="S36" i="36"/>
  <c r="CR14" i="52"/>
  <c r="CP68" i="52"/>
  <c r="CP14" i="52"/>
  <c r="CN14" i="52"/>
  <c r="CL70" i="52"/>
  <c r="CL76" i="52"/>
  <c r="AD61" i="51"/>
  <c r="AE61" i="51"/>
  <c r="CR51" i="52" l="1"/>
  <c r="CR77" i="52"/>
  <c r="CP51" i="52"/>
  <c r="CP77" i="52"/>
  <c r="CP99" i="52"/>
  <c r="CL100" i="52"/>
  <c r="CN105" i="52"/>
  <c r="CR105" i="52"/>
  <c r="CR99" i="52"/>
  <c r="AB102" i="51"/>
  <c r="CN108" i="52"/>
  <c r="CP108" i="52"/>
  <c r="CR108" i="52"/>
  <c r="CR87" i="52"/>
  <c r="CR88" i="52"/>
  <c r="CR104" i="52"/>
  <c r="CN87" i="52"/>
  <c r="CR76" i="52"/>
  <c r="CP87" i="52"/>
  <c r="CP105" i="52"/>
  <c r="CP88" i="52"/>
  <c r="CP76" i="52"/>
  <c r="CP104" i="52"/>
  <c r="CN88" i="52"/>
  <c r="CN104" i="52"/>
  <c r="CN76" i="52"/>
  <c r="CL87" i="52"/>
  <c r="CL104" i="52"/>
  <c r="CL108" i="52"/>
  <c r="CL88" i="52"/>
  <c r="CL105" i="52"/>
  <c r="CR79" i="52" l="1" a="1"/>
  <c r="CR79" i="52" s="1"/>
  <c r="CP79" i="52" a="1"/>
  <c r="CP79" i="52" s="1"/>
  <c r="I26" i="28" l="1"/>
  <c r="I25" i="28"/>
  <c r="A56" i="24"/>
  <c r="A33" i="24"/>
  <c r="A17" i="24"/>
  <c r="B90" i="36"/>
  <c r="B37" i="36"/>
  <c r="A12" i="63"/>
  <c r="A129" i="20"/>
  <c r="C113" i="20"/>
  <c r="B35" i="12"/>
  <c r="M20" i="63" l="1"/>
  <c r="M28" i="63"/>
  <c r="H120" i="12" s="1"/>
  <c r="N6" i="63" a="1"/>
  <c r="N6" i="63" s="1"/>
  <c r="N7" i="63" a="1"/>
  <c r="N7" i="63" s="1"/>
  <c r="N8" i="63" a="1"/>
  <c r="N8" i="63" s="1"/>
  <c r="N9" i="63" a="1"/>
  <c r="N9" i="63" s="1"/>
  <c r="N10" i="63" a="1"/>
  <c r="N10" i="63" s="1"/>
  <c r="N11" i="63" a="1"/>
  <c r="N11" i="63" s="1"/>
  <c r="M7" i="63"/>
  <c r="M8" i="63"/>
  <c r="M9" i="63"/>
  <c r="M10" i="63"/>
  <c r="M11" i="63"/>
  <c r="M6" i="63"/>
  <c r="S11" i="36"/>
  <c r="S37" i="36" s="1"/>
  <c r="M12" i="63" l="1"/>
  <c r="H102" i="12" s="1"/>
  <c r="O8" i="63"/>
  <c r="O10" i="63" s="1"/>
  <c r="N12" i="63"/>
  <c r="H117" i="12" s="1"/>
  <c r="CY79" i="52" a="1"/>
  <c r="CY79" i="52" s="1"/>
  <c r="CZ79" i="52" a="1"/>
  <c r="CZ79" i="52" s="1"/>
  <c r="DA79" i="52" a="1"/>
  <c r="DA79" i="52" s="1"/>
  <c r="DB79" i="52" a="1"/>
  <c r="DB79" i="52" s="1"/>
  <c r="CX79" i="52" a="1"/>
  <c r="CX79" i="52" s="1"/>
  <c r="CS79" i="52" a="1"/>
  <c r="CS79" i="52" s="1"/>
  <c r="CT79" i="52" a="1"/>
  <c r="CT79" i="52" s="1"/>
  <c r="CU79" i="52" a="1"/>
  <c r="CU79" i="52" s="1"/>
  <c r="CB79" i="52" a="1"/>
  <c r="CB79" i="52" s="1"/>
  <c r="CC79" i="52" a="1"/>
  <c r="CC79" i="52" s="1"/>
  <c r="CH79" i="52" a="1"/>
  <c r="CH79" i="52" s="1"/>
  <c r="BD79" i="52" a="1"/>
  <c r="BD79" i="52" s="1"/>
  <c r="BE79" i="52" a="1"/>
  <c r="BE79" i="52" s="1"/>
  <c r="BF79" i="52" a="1"/>
  <c r="BF79" i="52" s="1"/>
  <c r="BG79" i="52" a="1"/>
  <c r="BG79" i="52" s="1"/>
  <c r="BH79" i="52" a="1"/>
  <c r="BH79" i="52" s="1"/>
  <c r="BI79" i="52" a="1"/>
  <c r="BI79" i="52" s="1"/>
  <c r="BJ79" i="52" a="1"/>
  <c r="BJ79" i="52" s="1"/>
  <c r="BK79" i="52" a="1"/>
  <c r="BK79" i="52" s="1"/>
  <c r="BL79" i="52" a="1"/>
  <c r="BL79" i="52" s="1"/>
  <c r="Z79" i="52" a="1"/>
  <c r="Z79" i="52" s="1"/>
  <c r="AH79" i="52" a="1"/>
  <c r="AH79" i="52" s="1"/>
  <c r="AI79" i="52" a="1"/>
  <c r="AI79" i="52" s="1"/>
  <c r="AJ79" i="52" a="1"/>
  <c r="AJ79" i="52" s="1"/>
  <c r="M79" i="52" a="1"/>
  <c r="M79" i="52" s="1"/>
  <c r="N79" i="52" a="1"/>
  <c r="N79" i="52" s="1"/>
  <c r="O79" i="52" a="1"/>
  <c r="O79" i="52" s="1"/>
  <c r="P79" i="52" a="1"/>
  <c r="P79" i="52" s="1"/>
  <c r="Q79" i="52" a="1"/>
  <c r="Q79" i="52" s="1"/>
  <c r="R79" i="52" a="1"/>
  <c r="R79" i="52" s="1"/>
  <c r="S79" i="52" a="1"/>
  <c r="S79" i="52" s="1"/>
  <c r="T79" i="52" a="1"/>
  <c r="T79" i="52" s="1"/>
  <c r="U79" i="52" a="1"/>
  <c r="U79" i="52" s="1"/>
  <c r="C79" i="52" a="1"/>
  <c r="C79" i="52" s="1"/>
  <c r="D79" i="52" a="1"/>
  <c r="D79" i="52" s="1"/>
  <c r="AC92" i="51" a="1"/>
  <c r="AC92" i="51" s="1"/>
  <c r="H68" i="52"/>
  <c r="H76" i="52"/>
  <c r="H14" i="52"/>
  <c r="L68" i="52"/>
  <c r="L76" i="52"/>
  <c r="L14" i="52"/>
  <c r="H105" i="52" l="1"/>
  <c r="F7" i="5"/>
  <c r="M29" i="63"/>
  <c r="I120" i="12"/>
  <c r="F20" i="5"/>
  <c r="F27" i="5"/>
  <c r="H27" i="5" s="1"/>
  <c r="H104" i="52"/>
  <c r="H100" i="52"/>
  <c r="H87" i="52"/>
  <c r="H108" i="52"/>
  <c r="H88" i="52"/>
  <c r="L100" i="52"/>
  <c r="L88" i="52"/>
  <c r="L105" i="52"/>
  <c r="L87" i="52"/>
  <c r="L104" i="52"/>
  <c r="L108" i="52"/>
  <c r="G27" i="5" l="1"/>
  <c r="I117" i="12" s="1"/>
  <c r="H20" i="5"/>
  <c r="G20" i="5"/>
  <c r="W179" i="51"/>
  <c r="W178" i="51"/>
  <c r="W177" i="51"/>
  <c r="W176" i="51"/>
  <c r="W114" i="51"/>
  <c r="W113" i="51"/>
  <c r="W112" i="51"/>
  <c r="W98" i="51"/>
  <c r="W103" i="51" s="1"/>
  <c r="W82" i="51"/>
  <c r="W73" i="51"/>
  <c r="W54" i="51"/>
  <c r="W44" i="51"/>
  <c r="W166" i="51"/>
  <c r="I102" i="12" l="1"/>
  <c r="W156" i="51"/>
  <c r="W148" i="51"/>
  <c r="W89" i="51"/>
  <c r="W99" i="51"/>
  <c r="D29" i="5" l="1"/>
  <c r="W100" i="51"/>
  <c r="W101" i="51"/>
  <c r="H6" i="5"/>
  <c r="W102" i="51" l="1"/>
  <c r="V113" i="36" l="1"/>
  <c r="Q117" i="36"/>
  <c r="V112" i="36"/>
  <c r="L54" i="51"/>
  <c r="U114" i="36" l="1"/>
  <c r="V114" i="36" s="1"/>
  <c r="AD161" i="51"/>
  <c r="AE161" i="51"/>
  <c r="V110" i="52"/>
  <c r="W110" i="52"/>
  <c r="AZ110" i="52"/>
  <c r="BA110" i="52"/>
  <c r="BM110" i="52"/>
  <c r="BN110" i="52"/>
  <c r="CI110" i="52"/>
  <c r="CJ110" i="52"/>
  <c r="CV110" i="52"/>
  <c r="CW110" i="52"/>
  <c r="DC110" i="52"/>
  <c r="DD110" i="52"/>
  <c r="H2" i="5"/>
  <c r="F2" i="5"/>
  <c r="H3" i="5" s="1"/>
  <c r="G2" i="5"/>
  <c r="G3" i="5"/>
  <c r="T11" i="36" a="1"/>
  <c r="T11" i="36" s="1"/>
  <c r="T37" i="36" s="1"/>
  <c r="T65" i="36" a="1"/>
  <c r="T65" i="36" s="1"/>
  <c r="T66" i="36" a="1"/>
  <c r="T66" i="36" s="1"/>
  <c r="T67" i="36" a="1"/>
  <c r="T67" i="36" s="1"/>
  <c r="T87" i="36" a="1"/>
  <c r="T87" i="36" s="1"/>
  <c r="T89" i="36" a="1"/>
  <c r="T89" i="36" s="1"/>
  <c r="S65" i="36"/>
  <c r="S66" i="36"/>
  <c r="S67" i="36"/>
  <c r="S87" i="36"/>
  <c r="S89" i="36"/>
  <c r="S64" i="36"/>
  <c r="S106" i="36"/>
  <c r="H119" i="12" s="1"/>
  <c r="U105" i="36"/>
  <c r="U101" i="36"/>
  <c r="S98" i="36"/>
  <c r="U97" i="36"/>
  <c r="U93" i="36"/>
  <c r="A5" i="36"/>
  <c r="C99" i="51" l="1"/>
  <c r="S90" i="36"/>
  <c r="H101" i="12" s="1"/>
  <c r="T90" i="36"/>
  <c r="F26" i="5" s="1"/>
  <c r="A100" i="36"/>
  <c r="I119" i="12"/>
  <c r="F19" i="5"/>
  <c r="A92" i="36"/>
  <c r="B2" i="55"/>
  <c r="A78" i="52"/>
  <c r="CO14" i="52"/>
  <c r="CQ76" i="52"/>
  <c r="CQ14" i="52"/>
  <c r="K176" i="51"/>
  <c r="L176" i="51"/>
  <c r="M176" i="51"/>
  <c r="N176" i="51"/>
  <c r="O176" i="51"/>
  <c r="P176" i="51"/>
  <c r="Q176" i="51"/>
  <c r="R176" i="51"/>
  <c r="S176" i="51"/>
  <c r="T176" i="51"/>
  <c r="U176" i="51"/>
  <c r="V176" i="51"/>
  <c r="X176" i="51"/>
  <c r="Y176" i="51"/>
  <c r="Z176" i="51"/>
  <c r="AA176" i="51"/>
  <c r="AC176" i="51"/>
  <c r="H177" i="51"/>
  <c r="I177" i="51"/>
  <c r="J177" i="51"/>
  <c r="K177" i="51"/>
  <c r="L177" i="51"/>
  <c r="M177" i="51"/>
  <c r="N177" i="51"/>
  <c r="O177" i="51"/>
  <c r="P177" i="51"/>
  <c r="Q177" i="51"/>
  <c r="R177" i="51"/>
  <c r="S177" i="51"/>
  <c r="T177" i="51"/>
  <c r="U177" i="51"/>
  <c r="V177" i="51"/>
  <c r="X177" i="51"/>
  <c r="Y177" i="51"/>
  <c r="Z177" i="51"/>
  <c r="AA177" i="51"/>
  <c r="AC177" i="51"/>
  <c r="H178" i="51"/>
  <c r="J178" i="51"/>
  <c r="M178" i="51"/>
  <c r="N178" i="51"/>
  <c r="O178" i="51"/>
  <c r="P178" i="51"/>
  <c r="Q178" i="51"/>
  <c r="R178" i="51"/>
  <c r="S178" i="51"/>
  <c r="T178" i="51"/>
  <c r="U178" i="51"/>
  <c r="V178" i="51"/>
  <c r="X178" i="51"/>
  <c r="Y178" i="51"/>
  <c r="Z178" i="51"/>
  <c r="AA178" i="51"/>
  <c r="AC178" i="51"/>
  <c r="K179" i="51"/>
  <c r="M179" i="51"/>
  <c r="N179" i="51"/>
  <c r="P179" i="51"/>
  <c r="Q179" i="51"/>
  <c r="R179" i="51"/>
  <c r="S179" i="51"/>
  <c r="T179" i="51"/>
  <c r="U179" i="51"/>
  <c r="V179" i="51"/>
  <c r="X179" i="51"/>
  <c r="Y179" i="51"/>
  <c r="Z179" i="51"/>
  <c r="AA179" i="51"/>
  <c r="AC179" i="51"/>
  <c r="G178" i="51"/>
  <c r="CU14" i="52"/>
  <c r="E14" i="52"/>
  <c r="G14" i="52"/>
  <c r="J14" i="52"/>
  <c r="K14" i="52"/>
  <c r="M14" i="52"/>
  <c r="N14" i="52"/>
  <c r="O14" i="52"/>
  <c r="P14" i="52"/>
  <c r="Q14" i="52"/>
  <c r="R14" i="52"/>
  <c r="S14" i="52"/>
  <c r="T14" i="52"/>
  <c r="U14" i="52"/>
  <c r="V14" i="52"/>
  <c r="W14" i="52"/>
  <c r="X14" i="52"/>
  <c r="Z14" i="52"/>
  <c r="AA14" i="52"/>
  <c r="AB14" i="52"/>
  <c r="AC14" i="52"/>
  <c r="AD14" i="52"/>
  <c r="AF14" i="52"/>
  <c r="AG14" i="52"/>
  <c r="AH14" i="52"/>
  <c r="AI14" i="52"/>
  <c r="AJ14" i="52"/>
  <c r="AZ14" i="52"/>
  <c r="BA14" i="52"/>
  <c r="BB14" i="52"/>
  <c r="BD14" i="52"/>
  <c r="BE14" i="52"/>
  <c r="BF14" i="52"/>
  <c r="BG14" i="52"/>
  <c r="BH14" i="52"/>
  <c r="BI14" i="52"/>
  <c r="BJ14" i="52"/>
  <c r="BK14" i="52"/>
  <c r="BL14" i="52"/>
  <c r="BM14" i="52"/>
  <c r="BN14" i="52"/>
  <c r="CA14" i="52"/>
  <c r="CB14" i="52"/>
  <c r="CC14" i="52"/>
  <c r="CH14" i="52"/>
  <c r="CI14" i="52"/>
  <c r="CJ14" i="52"/>
  <c r="CK14" i="52"/>
  <c r="CM14" i="52"/>
  <c r="CS14" i="52"/>
  <c r="CT14" i="52"/>
  <c r="CV14" i="52"/>
  <c r="CW14" i="52"/>
  <c r="CX14" i="52"/>
  <c r="CY14" i="52"/>
  <c r="CZ14" i="52"/>
  <c r="DA14" i="52"/>
  <c r="DB14" i="52"/>
  <c r="DC14" i="52"/>
  <c r="DD14" i="52"/>
  <c r="D14" i="52"/>
  <c r="C14" i="52"/>
  <c r="I116" i="12" l="1"/>
  <c r="H19" i="5"/>
  <c r="G19" i="5"/>
  <c r="H26" i="5"/>
  <c r="G26" i="5"/>
  <c r="P99" i="52"/>
  <c r="U99" i="52"/>
  <c r="R99" i="52"/>
  <c r="Q99" i="52"/>
  <c r="H116" i="12"/>
  <c r="V110" i="36"/>
  <c r="W110" i="36"/>
  <c r="BL77" i="52"/>
  <c r="BL99" i="52"/>
  <c r="CC51" i="52"/>
  <c r="CC110" i="52" s="1"/>
  <c r="CC77" i="52"/>
  <c r="CS51" i="52"/>
  <c r="CS110" i="52" s="1"/>
  <c r="CS77" i="52"/>
  <c r="CU51" i="52"/>
  <c r="CU110" i="52" s="1"/>
  <c r="CU77" i="52"/>
  <c r="CQ51" i="52"/>
  <c r="CQ77" i="52"/>
  <c r="CT51" i="52"/>
  <c r="CT110" i="52" s="1"/>
  <c r="CT77" i="52"/>
  <c r="DB51" i="52"/>
  <c r="DB110" i="52" s="1"/>
  <c r="DB77" i="52"/>
  <c r="DA51" i="52"/>
  <c r="DA110" i="52" s="1"/>
  <c r="DA77" i="52"/>
  <c r="CH51" i="52"/>
  <c r="CH110" i="52" s="1"/>
  <c r="CH77" i="52"/>
  <c r="J112" i="52"/>
  <c r="BG112" i="52"/>
  <c r="BF112" i="52"/>
  <c r="AI112" i="52"/>
  <c r="Q112" i="52"/>
  <c r="T112" i="52"/>
  <c r="S112" i="52"/>
  <c r="R112" i="52"/>
  <c r="P112" i="52"/>
  <c r="BK112" i="52"/>
  <c r="AF112" i="52"/>
  <c r="BI112" i="52"/>
  <c r="BH112" i="52"/>
  <c r="AJ112" i="52"/>
  <c r="AH112" i="52"/>
  <c r="BL51" i="52"/>
  <c r="BL110" i="52" s="1"/>
  <c r="BL112" i="52"/>
  <c r="AG112" i="52"/>
  <c r="BJ112" i="52"/>
  <c r="U112" i="52"/>
  <c r="DC87" i="52"/>
  <c r="DD87" i="52"/>
  <c r="DD99" i="52"/>
  <c r="CV99" i="52"/>
  <c r="CC99" i="52"/>
  <c r="AZ99" i="52"/>
  <c r="CI99" i="52"/>
  <c r="CW99" i="52"/>
  <c r="CQ99" i="52"/>
  <c r="DB99" i="52"/>
  <c r="CS99" i="52"/>
  <c r="CA99" i="52"/>
  <c r="CJ93" i="52"/>
  <c r="V99" i="52"/>
  <c r="CH99" i="52"/>
  <c r="BA99" i="52"/>
  <c r="CT99" i="52"/>
  <c r="CB99" i="52"/>
  <c r="DA99" i="52"/>
  <c r="BN99" i="52"/>
  <c r="Z99" i="52"/>
  <c r="CJ99" i="52"/>
  <c r="BN93" i="52"/>
  <c r="W99" i="52"/>
  <c r="BM99" i="52"/>
  <c r="CU99" i="52"/>
  <c r="X99" i="52"/>
  <c r="DC99" i="52"/>
  <c r="CO108" i="52"/>
  <c r="CO76" i="52"/>
  <c r="CO104" i="52"/>
  <c r="CO105" i="52"/>
  <c r="CQ104" i="52"/>
  <c r="CO87" i="52"/>
  <c r="CQ105" i="52"/>
  <c r="CQ108" i="52"/>
  <c r="CQ87" i="52"/>
  <c r="B83" i="52"/>
  <c r="B82" i="52"/>
  <c r="B81" i="52"/>
  <c r="B80" i="52"/>
  <c r="A82" i="52"/>
  <c r="A80" i="52"/>
  <c r="B79" i="52"/>
  <c r="B78" i="52"/>
  <c r="B77" i="52"/>
  <c r="M34" i="63" l="1"/>
  <c r="W93" i="52"/>
  <c r="B76" i="52"/>
  <c r="B75" i="52"/>
  <c r="B74" i="52"/>
  <c r="A15" i="52"/>
  <c r="M33" i="63"/>
  <c r="A2" i="63"/>
  <c r="V111" i="52" l="1"/>
  <c r="W111" i="52"/>
  <c r="AZ111" i="52"/>
  <c r="BA111" i="52"/>
  <c r="BM111" i="52"/>
  <c r="BN111" i="52"/>
  <c r="CI111" i="52"/>
  <c r="CJ111" i="52"/>
  <c r="CV111" i="52"/>
  <c r="CW111" i="52"/>
  <c r="DC111" i="52"/>
  <c r="DD111" i="52"/>
  <c r="P166" i="51"/>
  <c r="N166" i="51"/>
  <c r="AH173" i="51"/>
  <c r="AH172" i="51"/>
  <c r="AH170" i="51"/>
  <c r="AH160" i="51"/>
  <c r="AI161" i="51"/>
  <c r="AH158" i="51"/>
  <c r="AH157" i="51"/>
  <c r="AI159" i="51"/>
  <c r="AI158" i="51"/>
  <c r="AH155" i="51"/>
  <c r="AI156" i="51"/>
  <c r="AI155" i="51"/>
  <c r="AH152" i="51"/>
  <c r="AH151" i="51"/>
  <c r="AI153" i="51"/>
  <c r="AH147" i="51"/>
  <c r="E124" i="51"/>
  <c r="C124" i="51"/>
  <c r="AG118" i="51"/>
  <c r="F23" i="5" l="1"/>
  <c r="CO88" i="52" l="1"/>
  <c r="CQ88" i="52"/>
  <c r="AG93" i="51" l="1"/>
  <c r="AG92" i="51"/>
  <c r="AE96" i="51"/>
  <c r="AG95" i="51"/>
  <c r="B3" i="55" l="1"/>
  <c r="I130" i="32" l="1"/>
  <c r="I131" i="32"/>
  <c r="I132" i="32"/>
  <c r="I129" i="32"/>
  <c r="E7" i="32" l="1"/>
  <c r="AA114" i="51"/>
  <c r="AA113" i="51"/>
  <c r="AA112" i="51"/>
  <c r="AA98" i="51"/>
  <c r="AA103" i="51" s="1"/>
  <c r="AA82" i="51"/>
  <c r="AA73" i="51"/>
  <c r="AA54" i="51"/>
  <c r="AA89" i="51" s="1"/>
  <c r="AA44" i="51"/>
  <c r="Z114" i="51"/>
  <c r="Y114" i="51"/>
  <c r="Z98" i="51"/>
  <c r="Z103" i="51" s="1"/>
  <c r="Y98" i="51"/>
  <c r="Y103" i="51" s="1"/>
  <c r="X98" i="51"/>
  <c r="X103" i="51" s="1"/>
  <c r="Z82" i="51"/>
  <c r="Y82" i="51"/>
  <c r="X82" i="51"/>
  <c r="Z73" i="51"/>
  <c r="Y73" i="51"/>
  <c r="X73" i="51"/>
  <c r="Z54" i="51"/>
  <c r="Z89" i="51" s="1"/>
  <c r="Y54" i="51"/>
  <c r="Y89" i="51" s="1"/>
  <c r="X54" i="51"/>
  <c r="X89" i="51" s="1"/>
  <c r="Z44" i="51"/>
  <c r="Y44" i="51"/>
  <c r="X44" i="51"/>
  <c r="AA156" i="51" l="1"/>
  <c r="Y156" i="51"/>
  <c r="Z166" i="51"/>
  <c r="X166" i="51"/>
  <c r="Y166" i="51"/>
  <c r="AA166" i="51"/>
  <c r="Z148" i="51"/>
  <c r="X156" i="51"/>
  <c r="AA99" i="51"/>
  <c r="AA100" i="51" s="1"/>
  <c r="X148" i="51"/>
  <c r="Z156" i="51"/>
  <c r="Y148" i="51"/>
  <c r="AA148" i="51"/>
  <c r="X99" i="51"/>
  <c r="Y99" i="51"/>
  <c r="Z99" i="51"/>
  <c r="X100" i="51" l="1"/>
  <c r="Z100" i="51"/>
  <c r="Y100" i="51"/>
  <c r="AA101" i="51" l="1"/>
  <c r="AA102" i="51" s="1"/>
  <c r="X101" i="51"/>
  <c r="X102" i="51" s="1"/>
  <c r="Z101" i="51"/>
  <c r="Z102" i="51" s="1"/>
  <c r="Y101" i="51"/>
  <c r="Y102" i="51" s="1"/>
  <c r="BB57" i="52"/>
  <c r="BB56" i="52"/>
  <c r="C89" i="32" l="1"/>
  <c r="B7" i="32"/>
  <c r="B12" i="32" s="1"/>
  <c r="B16" i="32" s="1"/>
  <c r="B24" i="32" s="1"/>
  <c r="B32" i="32" s="1"/>
  <c r="B36" i="32" s="1"/>
  <c r="B44" i="32" s="1"/>
  <c r="B52" i="32" s="1"/>
  <c r="B59" i="32" s="1"/>
  <c r="B63" i="32" s="1"/>
  <c r="B72" i="32" s="1"/>
  <c r="B76" i="32" s="1"/>
  <c r="B82" i="32" s="1"/>
  <c r="B88" i="32" s="1"/>
  <c r="B92" i="32" s="1"/>
  <c r="B99" i="32" s="1"/>
  <c r="B106" i="32" s="1"/>
  <c r="B110" i="32" s="1"/>
  <c r="B114" i="32" s="1"/>
  <c r="B128" i="32" s="1"/>
  <c r="B134" i="32" s="1"/>
  <c r="B140" i="32" s="1"/>
  <c r="B144" i="32" s="1"/>
  <c r="B148" i="32" s="1"/>
  <c r="B155" i="32" s="1"/>
  <c r="B160" i="32" s="1"/>
  <c r="B11" i="23"/>
  <c r="B16" i="23" s="1"/>
  <c r="B20" i="23" s="1"/>
  <c r="B28" i="23" s="1"/>
  <c r="B36" i="23" s="1"/>
  <c r="B42" i="23" s="1"/>
  <c r="A117" i="36"/>
  <c r="A127" i="36" s="1"/>
  <c r="A138" i="36" s="1"/>
  <c r="A148" i="36" s="1"/>
  <c r="A155" i="36" s="1"/>
  <c r="A167" i="36" s="1"/>
  <c r="A173" i="36" s="1"/>
  <c r="A180" i="36" s="1"/>
  <c r="E73" i="24"/>
  <c r="E78" i="24" s="1"/>
  <c r="D73" i="24"/>
  <c r="D78" i="24" s="1"/>
  <c r="B10" i="24"/>
  <c r="B19" i="24" s="1"/>
  <c r="B26" i="24" s="1"/>
  <c r="B35" i="24" s="1"/>
  <c r="B39" i="24" s="1"/>
  <c r="B21" i="20"/>
  <c r="B33" i="20" s="1"/>
  <c r="B115" i="20"/>
  <c r="A194" i="36" l="1"/>
  <c r="A200" i="36" s="1"/>
  <c r="A188" i="36"/>
  <c r="B43" i="24"/>
  <c r="B48" i="24" s="1"/>
  <c r="B58" i="24" s="1"/>
  <c r="B67" i="24" s="1"/>
  <c r="B73" i="24" s="1"/>
  <c r="B78" i="24" s="1"/>
  <c r="B83" i="24" s="1"/>
  <c r="B91" i="24" s="1"/>
  <c r="B27" i="20"/>
  <c r="B40" i="20" s="1"/>
  <c r="B53" i="20" s="1"/>
  <c r="B60" i="20" s="1"/>
  <c r="B64" i="20" s="1"/>
  <c r="B73" i="20" s="1"/>
  <c r="B80" i="20" s="1"/>
  <c r="B87" i="20" s="1"/>
  <c r="B93" i="20" s="1"/>
  <c r="B110" i="20" s="1"/>
  <c r="A2" i="36" l="1"/>
  <c r="G44" i="51" l="1"/>
  <c r="G54" i="51"/>
  <c r="G89" i="51" s="1"/>
  <c r="H44" i="51"/>
  <c r="H54" i="51"/>
  <c r="I44" i="51"/>
  <c r="I54" i="51"/>
  <c r="I89" i="51" s="1"/>
  <c r="B87" i="52"/>
  <c r="E85" i="32"/>
  <c r="F85" i="32" s="1"/>
  <c r="AA76" i="52"/>
  <c r="B58" i="8"/>
  <c r="B68" i="52"/>
  <c r="C18" i="51"/>
  <c r="E31" i="1"/>
  <c r="E71" i="24"/>
  <c r="E38" i="24"/>
  <c r="E42" i="24"/>
  <c r="E46" i="24"/>
  <c r="E55" i="24"/>
  <c r="E6" i="5"/>
  <c r="D6" i="2" s="1"/>
  <c r="C89" i="51"/>
  <c r="E44" i="51"/>
  <c r="E54" i="51"/>
  <c r="E89" i="51" s="1"/>
  <c r="N114" i="51"/>
  <c r="O114" i="51"/>
  <c r="P114" i="51"/>
  <c r="Q114" i="51"/>
  <c r="R114" i="51"/>
  <c r="S114" i="51"/>
  <c r="V114" i="51"/>
  <c r="AC112" i="51"/>
  <c r="AC113" i="51"/>
  <c r="AC114" i="51"/>
  <c r="J44" i="51"/>
  <c r="K44" i="51"/>
  <c r="L44" i="51"/>
  <c r="M44" i="51"/>
  <c r="N44" i="51"/>
  <c r="N148" i="51" s="1"/>
  <c r="O44" i="51"/>
  <c r="P44" i="51"/>
  <c r="P148" i="51" s="1"/>
  <c r="Q44" i="51"/>
  <c r="R44" i="51"/>
  <c r="S44" i="51"/>
  <c r="T44" i="51"/>
  <c r="U44" i="51"/>
  <c r="V44" i="51"/>
  <c r="AC44" i="51"/>
  <c r="J54" i="51"/>
  <c r="J89" i="51" s="1"/>
  <c r="K54" i="51"/>
  <c r="K89" i="51" s="1"/>
  <c r="L89" i="51"/>
  <c r="M54" i="51"/>
  <c r="M89" i="51" s="1"/>
  <c r="N54" i="51"/>
  <c r="O54" i="51"/>
  <c r="O89" i="51" s="1"/>
  <c r="P54" i="51"/>
  <c r="Q54" i="51"/>
  <c r="Q89" i="51" s="1"/>
  <c r="R54" i="51"/>
  <c r="R89" i="51" s="1"/>
  <c r="S54" i="51"/>
  <c r="S89" i="51" s="1"/>
  <c r="T54" i="51"/>
  <c r="T89" i="51" s="1"/>
  <c r="U54" i="51"/>
  <c r="U89" i="51" s="1"/>
  <c r="V54" i="51"/>
  <c r="V89" i="51" s="1"/>
  <c r="AC54" i="51"/>
  <c r="AC89" i="51" s="1"/>
  <c r="AE54" i="51"/>
  <c r="J76" i="52"/>
  <c r="K76" i="52"/>
  <c r="M76" i="52"/>
  <c r="N76" i="52"/>
  <c r="P76" i="52"/>
  <c r="R76" i="52"/>
  <c r="U76" i="52"/>
  <c r="C76" i="52"/>
  <c r="G76" i="52"/>
  <c r="BK76" i="52"/>
  <c r="BK68" i="52"/>
  <c r="BJ76" i="52"/>
  <c r="BJ68" i="52"/>
  <c r="BH76" i="52"/>
  <c r="BH68" i="52"/>
  <c r="BF76" i="52"/>
  <c r="BF68" i="52"/>
  <c r="BD76" i="52"/>
  <c r="BD68" i="52"/>
  <c r="AJ76" i="52"/>
  <c r="AJ68" i="52"/>
  <c r="AI76" i="52"/>
  <c r="AI68" i="52"/>
  <c r="AG68" i="52"/>
  <c r="AD76" i="52"/>
  <c r="AD68" i="52"/>
  <c r="AB76" i="52"/>
  <c r="AB68" i="52"/>
  <c r="T68" i="52"/>
  <c r="S76" i="52"/>
  <c r="S68" i="52"/>
  <c r="Q76" i="52"/>
  <c r="Q68" i="52"/>
  <c r="O76" i="52"/>
  <c r="O68" i="52"/>
  <c r="M68" i="52"/>
  <c r="K68" i="52"/>
  <c r="G68" i="52"/>
  <c r="Z76" i="52"/>
  <c r="Z70" i="52"/>
  <c r="Z68" i="52"/>
  <c r="Z57" i="52"/>
  <c r="Z56" i="52"/>
  <c r="D70" i="52"/>
  <c r="D68" i="52"/>
  <c r="C57" i="52"/>
  <c r="C56" i="52"/>
  <c r="B120" i="8"/>
  <c r="E120" i="8"/>
  <c r="B55" i="8"/>
  <c r="E55" i="8"/>
  <c r="CY76" i="52"/>
  <c r="CX76" i="52"/>
  <c r="CM76" i="52"/>
  <c r="CK76" i="52"/>
  <c r="CB76" i="52"/>
  <c r="CA76" i="52"/>
  <c r="BE76" i="52"/>
  <c r="AC76" i="52"/>
  <c r="BB76" i="52"/>
  <c r="AD168" i="51"/>
  <c r="AE168" i="51"/>
  <c r="D163" i="32"/>
  <c r="D158" i="32"/>
  <c r="K6" i="28"/>
  <c r="E135" i="32" s="1"/>
  <c r="D151" i="32"/>
  <c r="D147" i="32"/>
  <c r="D143" i="32"/>
  <c r="D139" i="32"/>
  <c r="D133" i="32"/>
  <c r="D122" i="32"/>
  <c r="D113" i="32"/>
  <c r="D109" i="32"/>
  <c r="D106" i="32"/>
  <c r="D105" i="32"/>
  <c r="D98" i="32"/>
  <c r="D91" i="32"/>
  <c r="D87" i="32"/>
  <c r="D82" i="32"/>
  <c r="D81" i="32"/>
  <c r="D75" i="32"/>
  <c r="D71" i="32"/>
  <c r="D59" i="32"/>
  <c r="D58" i="32"/>
  <c r="D51" i="32"/>
  <c r="D43" i="32"/>
  <c r="D36" i="32"/>
  <c r="D35" i="32"/>
  <c r="D31" i="32"/>
  <c r="D23" i="32"/>
  <c r="D15" i="32"/>
  <c r="E97" i="24"/>
  <c r="D97" i="24"/>
  <c r="E88" i="24"/>
  <c r="E81" i="24"/>
  <c r="E76" i="24"/>
  <c r="D88" i="24"/>
  <c r="D81" i="24"/>
  <c r="D76" i="24"/>
  <c r="D71" i="24"/>
  <c r="D65" i="24"/>
  <c r="D55" i="24"/>
  <c r="D46" i="24"/>
  <c r="D42" i="24"/>
  <c r="D38" i="24"/>
  <c r="E25" i="24"/>
  <c r="E32" i="24"/>
  <c r="D32" i="24"/>
  <c r="D25" i="24"/>
  <c r="E9" i="24"/>
  <c r="E16" i="24"/>
  <c r="D9" i="24"/>
  <c r="D16" i="24"/>
  <c r="F6" i="5"/>
  <c r="H23" i="5" s="1"/>
  <c r="D41" i="12"/>
  <c r="G41" i="12" s="1"/>
  <c r="D42" i="12"/>
  <c r="G42" i="12" s="1"/>
  <c r="D56" i="12"/>
  <c r="G56" i="12" s="1"/>
  <c r="D57" i="12"/>
  <c r="G57" i="12" s="1"/>
  <c r="J68" i="52"/>
  <c r="X76" i="52"/>
  <c r="AF76" i="52"/>
  <c r="AH76" i="52"/>
  <c r="AF68" i="52"/>
  <c r="I4" i="32"/>
  <c r="I8" i="32"/>
  <c r="I26" i="32"/>
  <c r="I53" i="32"/>
  <c r="I77" i="32"/>
  <c r="I107" i="32"/>
  <c r="I115" i="32"/>
  <c r="I44" i="24"/>
  <c r="I20" i="24"/>
  <c r="I36" i="24"/>
  <c r="I49" i="24"/>
  <c r="I59" i="24"/>
  <c r="I68" i="24"/>
  <c r="I92" i="24"/>
  <c r="I27" i="24"/>
  <c r="I40" i="24"/>
  <c r="D78" i="2"/>
  <c r="S45" i="36"/>
  <c r="H100" i="12" s="1"/>
  <c r="E97" i="5"/>
  <c r="E108" i="5" s="1"/>
  <c r="F86" i="5"/>
  <c r="G86" i="5" s="1"/>
  <c r="F88" i="5"/>
  <c r="G88" i="5" s="1"/>
  <c r="F39" i="2" s="1"/>
  <c r="F87" i="5"/>
  <c r="G87" i="5" s="1"/>
  <c r="F38" i="2" s="1"/>
  <c r="U44" i="36"/>
  <c r="G10" i="5"/>
  <c r="I84" i="24"/>
  <c r="I85" i="24"/>
  <c r="I86" i="24"/>
  <c r="I87" i="24"/>
  <c r="I100" i="32"/>
  <c r="I101" i="32"/>
  <c r="I102" i="32"/>
  <c r="I103" i="32"/>
  <c r="I104" i="32"/>
  <c r="I74" i="24"/>
  <c r="I75" i="24"/>
  <c r="I79" i="24"/>
  <c r="I80" i="24"/>
  <c r="I54" i="32"/>
  <c r="I55" i="32"/>
  <c r="I57" i="32"/>
  <c r="I56" i="32"/>
  <c r="I108" i="32"/>
  <c r="I4" i="24"/>
  <c r="D65" i="5"/>
  <c r="F34" i="1"/>
  <c r="J76" i="8" s="1"/>
  <c r="G62" i="5"/>
  <c r="CA68" i="52"/>
  <c r="CB68" i="52"/>
  <c r="CC68" i="52"/>
  <c r="E29" i="5"/>
  <c r="C5" i="3" s="1"/>
  <c r="G6" i="5"/>
  <c r="D43" i="12"/>
  <c r="G43" i="12" s="1"/>
  <c r="D44" i="12"/>
  <c r="G44" i="12" s="1"/>
  <c r="D45" i="12"/>
  <c r="G45" i="12" s="1"/>
  <c r="D46" i="12"/>
  <c r="G46" i="12" s="1"/>
  <c r="D50" i="12"/>
  <c r="G50" i="12" s="1"/>
  <c r="D58" i="12"/>
  <c r="G58" i="12" s="1"/>
  <c r="D59" i="12"/>
  <c r="G59" i="12" s="1"/>
  <c r="D60" i="12"/>
  <c r="G60" i="12" s="1"/>
  <c r="D63" i="12"/>
  <c r="G63" i="12" s="1"/>
  <c r="D64" i="12"/>
  <c r="G64" i="12" s="1"/>
  <c r="D65" i="12"/>
  <c r="G65" i="12" s="1"/>
  <c r="D6" i="12"/>
  <c r="G6" i="12" s="1"/>
  <c r="D7" i="12"/>
  <c r="G7" i="12" s="1"/>
  <c r="D8" i="12"/>
  <c r="G8" i="12" s="1"/>
  <c r="D12" i="12"/>
  <c r="G12" i="12" s="1"/>
  <c r="D13" i="12"/>
  <c r="G13" i="12" s="1"/>
  <c r="D14" i="12"/>
  <c r="G14" i="12" s="1"/>
  <c r="D15" i="12"/>
  <c r="G15" i="12" s="1"/>
  <c r="D21" i="12"/>
  <c r="G21" i="12" s="1"/>
  <c r="D22" i="12"/>
  <c r="G22" i="12" s="1"/>
  <c r="D23" i="12"/>
  <c r="G23" i="12" s="1"/>
  <c r="D24" i="12"/>
  <c r="G24" i="12" s="1"/>
  <c r="D25" i="12"/>
  <c r="G25" i="12" s="1"/>
  <c r="D26" i="12"/>
  <c r="G26" i="12" s="1"/>
  <c r="D30" i="12"/>
  <c r="G30" i="12" s="1"/>
  <c r="H24" i="12"/>
  <c r="H25" i="12"/>
  <c r="H26" i="12"/>
  <c r="H21" i="12"/>
  <c r="H22" i="12"/>
  <c r="H23" i="12"/>
  <c r="H30" i="12"/>
  <c r="E31" i="12"/>
  <c r="E16" i="12"/>
  <c r="H58" i="12"/>
  <c r="H57" i="12"/>
  <c r="H45" i="12"/>
  <c r="H44" i="12"/>
  <c r="H12" i="12"/>
  <c r="H8" i="12"/>
  <c r="H7" i="12"/>
  <c r="D77" i="12"/>
  <c r="G77" i="12" s="1"/>
  <c r="D78" i="12"/>
  <c r="G78" i="12" s="1"/>
  <c r="D79" i="12"/>
  <c r="G79" i="12" s="1"/>
  <c r="D80" i="12"/>
  <c r="G80" i="12" s="1"/>
  <c r="D81" i="12"/>
  <c r="G81" i="12" s="1"/>
  <c r="D76" i="12"/>
  <c r="G76" i="12" s="1"/>
  <c r="D88" i="12"/>
  <c r="G88" i="12" s="1"/>
  <c r="D89" i="12"/>
  <c r="G89" i="12" s="1"/>
  <c r="D90" i="12"/>
  <c r="G90" i="12" s="1"/>
  <c r="D91" i="12"/>
  <c r="G91" i="12" s="1"/>
  <c r="D92" i="12"/>
  <c r="G92" i="12" s="1"/>
  <c r="D87" i="12"/>
  <c r="G87" i="12" s="1"/>
  <c r="H17" i="5"/>
  <c r="A139" i="32"/>
  <c r="A143" i="32"/>
  <c r="A147" i="32"/>
  <c r="A151" i="32"/>
  <c r="A158" i="32"/>
  <c r="A163" i="32"/>
  <c r="AD51" i="51"/>
  <c r="AE51" i="51"/>
  <c r="G38" i="5"/>
  <c r="G34" i="5"/>
  <c r="G36" i="5"/>
  <c r="C82" i="51"/>
  <c r="E82" i="51"/>
  <c r="J82" i="51"/>
  <c r="L82" i="51"/>
  <c r="M82" i="51"/>
  <c r="N82" i="51"/>
  <c r="O82" i="51"/>
  <c r="P82" i="51"/>
  <c r="Q82" i="51"/>
  <c r="R82" i="51"/>
  <c r="S82" i="51"/>
  <c r="T82" i="51"/>
  <c r="U82" i="51"/>
  <c r="V82" i="51"/>
  <c r="AC82" i="51"/>
  <c r="AD82" i="51"/>
  <c r="AE82" i="51"/>
  <c r="D43" i="5"/>
  <c r="C12" i="2" s="1"/>
  <c r="C15" i="2" s="1"/>
  <c r="F15" i="8"/>
  <c r="F16" i="8"/>
  <c r="E34" i="1"/>
  <c r="G21" i="8" s="1"/>
  <c r="F19" i="8"/>
  <c r="G12" i="8"/>
  <c r="F20" i="8"/>
  <c r="F21" i="8"/>
  <c r="G24" i="8"/>
  <c r="F35" i="8"/>
  <c r="F36" i="8"/>
  <c r="F39" i="8"/>
  <c r="G40" i="8"/>
  <c r="F40" i="8"/>
  <c r="F41" i="8"/>
  <c r="G53" i="8"/>
  <c r="E56" i="8"/>
  <c r="J56" i="8" s="1"/>
  <c r="F62" i="8"/>
  <c r="G62" i="8"/>
  <c r="G63" i="8" s="1"/>
  <c r="F63" i="8"/>
  <c r="S53" i="36"/>
  <c r="H118" i="12" s="1"/>
  <c r="I118" i="12" s="1"/>
  <c r="F79" i="8"/>
  <c r="F80" i="8"/>
  <c r="F83" i="8"/>
  <c r="G76" i="8"/>
  <c r="F84" i="8"/>
  <c r="F85" i="8"/>
  <c r="G87" i="8"/>
  <c r="F97" i="8"/>
  <c r="F98" i="8"/>
  <c r="G34" i="1"/>
  <c r="F101" i="8"/>
  <c r="G102" i="8"/>
  <c r="F102" i="8"/>
  <c r="F103" i="8"/>
  <c r="G116" i="8"/>
  <c r="E121" i="8"/>
  <c r="J121" i="8" s="1"/>
  <c r="F127" i="8"/>
  <c r="G127" i="8"/>
  <c r="G128" i="8" s="1"/>
  <c r="F128" i="8"/>
  <c r="E93" i="12"/>
  <c r="K93" i="12" s="1"/>
  <c r="G23" i="5"/>
  <c r="G24" i="5"/>
  <c r="D125" i="5"/>
  <c r="I111" i="32"/>
  <c r="I5" i="32"/>
  <c r="I9" i="32"/>
  <c r="I10" i="32"/>
  <c r="I13" i="32"/>
  <c r="I14" i="32"/>
  <c r="I17" i="32"/>
  <c r="I18" i="32"/>
  <c r="I19" i="32"/>
  <c r="I20" i="32"/>
  <c r="I21" i="32"/>
  <c r="I22" i="32"/>
  <c r="I25" i="32"/>
  <c r="I27" i="32"/>
  <c r="I28" i="32"/>
  <c r="I29" i="32"/>
  <c r="I30" i="32"/>
  <c r="I33" i="32"/>
  <c r="I34" i="32"/>
  <c r="I37" i="32"/>
  <c r="I38" i="32"/>
  <c r="I39" i="32"/>
  <c r="I40" i="32"/>
  <c r="I41" i="32"/>
  <c r="I42" i="32"/>
  <c r="I45" i="32"/>
  <c r="I46" i="32"/>
  <c r="I47" i="32"/>
  <c r="I48" i="32"/>
  <c r="I49" i="32"/>
  <c r="I50" i="32"/>
  <c r="I60" i="32"/>
  <c r="I61" i="32"/>
  <c r="I73" i="32"/>
  <c r="I74" i="32"/>
  <c r="I78" i="32"/>
  <c r="I79" i="32"/>
  <c r="I80" i="32"/>
  <c r="I86" i="32"/>
  <c r="I90" i="32"/>
  <c r="I93" i="32"/>
  <c r="I94" i="32"/>
  <c r="I95" i="32"/>
  <c r="I96" i="32"/>
  <c r="I97" i="32"/>
  <c r="I112" i="32"/>
  <c r="I116" i="32"/>
  <c r="I117" i="32"/>
  <c r="I118" i="32"/>
  <c r="I119" i="32"/>
  <c r="I120" i="32"/>
  <c r="I121" i="32"/>
  <c r="I5" i="24"/>
  <c r="I6" i="24"/>
  <c r="I7" i="24"/>
  <c r="I8" i="24"/>
  <c r="I11" i="24"/>
  <c r="I12" i="24"/>
  <c r="I13" i="24"/>
  <c r="F204" i="36"/>
  <c r="D87" i="2" s="1"/>
  <c r="E167" i="36"/>
  <c r="D79" i="20"/>
  <c r="E73" i="20"/>
  <c r="D73" i="20"/>
  <c r="D45" i="23"/>
  <c r="E42" i="23"/>
  <c r="B46" i="23" s="1"/>
  <c r="D42" i="23"/>
  <c r="D39" i="23"/>
  <c r="D35" i="23"/>
  <c r="D19" i="23"/>
  <c r="D15" i="23"/>
  <c r="D10" i="23"/>
  <c r="A39" i="23"/>
  <c r="E36" i="23"/>
  <c r="D36" i="23"/>
  <c r="A35" i="23"/>
  <c r="E28" i="23"/>
  <c r="D28" i="23"/>
  <c r="A27" i="23"/>
  <c r="E20" i="23"/>
  <c r="D20" i="23"/>
  <c r="A19" i="23"/>
  <c r="E16" i="23"/>
  <c r="D16" i="23"/>
  <c r="A15" i="23"/>
  <c r="E11" i="23"/>
  <c r="D11" i="23"/>
  <c r="A10" i="23"/>
  <c r="E3" i="23"/>
  <c r="F2" i="23" s="1"/>
  <c r="D3" i="23"/>
  <c r="I93" i="24"/>
  <c r="I94" i="24"/>
  <c r="I95" i="24"/>
  <c r="I96" i="24"/>
  <c r="I69" i="24"/>
  <c r="I70" i="24"/>
  <c r="I60" i="24"/>
  <c r="I61" i="24"/>
  <c r="I62" i="24"/>
  <c r="I63" i="24"/>
  <c r="I64" i="24"/>
  <c r="I50" i="24"/>
  <c r="I51" i="24"/>
  <c r="I52" i="24"/>
  <c r="I53" i="24"/>
  <c r="I54" i="24"/>
  <c r="I45" i="24"/>
  <c r="I41" i="24"/>
  <c r="I37" i="24"/>
  <c r="I28" i="24"/>
  <c r="I29" i="24"/>
  <c r="I30" i="24"/>
  <c r="I31" i="24"/>
  <c r="I21" i="24"/>
  <c r="I22" i="24"/>
  <c r="I23" i="24"/>
  <c r="I24" i="24"/>
  <c r="I14" i="24"/>
  <c r="I15" i="24"/>
  <c r="I133" i="32"/>
  <c r="E140" i="32"/>
  <c r="I140" i="32" s="1"/>
  <c r="I141" i="32"/>
  <c r="I142" i="32"/>
  <c r="I145" i="32"/>
  <c r="I146" i="32"/>
  <c r="I149" i="32"/>
  <c r="I150" i="32"/>
  <c r="E148" i="32"/>
  <c r="E144" i="32"/>
  <c r="D62" i="32"/>
  <c r="D11" i="32"/>
  <c r="D6" i="32"/>
  <c r="A105" i="32"/>
  <c r="E99" i="32"/>
  <c r="D99" i="32"/>
  <c r="A98" i="32"/>
  <c r="E92" i="32"/>
  <c r="D92" i="32"/>
  <c r="A91" i="32"/>
  <c r="E88" i="32"/>
  <c r="D88" i="32"/>
  <c r="A109" i="32"/>
  <c r="E106" i="32"/>
  <c r="A87" i="32"/>
  <c r="E82" i="32"/>
  <c r="A81" i="32"/>
  <c r="E76" i="32"/>
  <c r="D76" i="32"/>
  <c r="A75" i="32"/>
  <c r="E72" i="32"/>
  <c r="D72" i="32"/>
  <c r="A71" i="32"/>
  <c r="E63" i="32"/>
  <c r="D63" i="32"/>
  <c r="A62" i="32"/>
  <c r="E59" i="32"/>
  <c r="A58" i="32"/>
  <c r="E52" i="32"/>
  <c r="D52" i="32"/>
  <c r="A51" i="32"/>
  <c r="E44" i="32"/>
  <c r="D44" i="32"/>
  <c r="A43" i="32"/>
  <c r="E36" i="32"/>
  <c r="A35" i="32"/>
  <c r="E32" i="32"/>
  <c r="D32" i="32"/>
  <c r="A31" i="32"/>
  <c r="E24" i="32"/>
  <c r="D24" i="32"/>
  <c r="D16" i="32"/>
  <c r="E16" i="32"/>
  <c r="A23" i="32"/>
  <c r="E83" i="24"/>
  <c r="D83" i="24"/>
  <c r="E58" i="24"/>
  <c r="D58" i="24"/>
  <c r="E180" i="36"/>
  <c r="E173" i="36"/>
  <c r="E148" i="36"/>
  <c r="E138" i="36"/>
  <c r="E127" i="36"/>
  <c r="E200" i="36"/>
  <c r="B208" i="36" s="1"/>
  <c r="E194" i="36"/>
  <c r="E188" i="36"/>
  <c r="E155" i="36"/>
  <c r="E117" i="36"/>
  <c r="F116" i="36" s="1"/>
  <c r="D92" i="20"/>
  <c r="D59" i="20"/>
  <c r="D52" i="20"/>
  <c r="D39" i="20"/>
  <c r="D26" i="20"/>
  <c r="D63" i="20"/>
  <c r="D72" i="20"/>
  <c r="D109" i="20"/>
  <c r="D129" i="20"/>
  <c r="A117" i="20"/>
  <c r="A123" i="20"/>
  <c r="A124" i="20" s="1"/>
  <c r="A125" i="20" s="1"/>
  <c r="A126" i="20" s="1"/>
  <c r="A127" i="20" s="1"/>
  <c r="A119" i="20"/>
  <c r="A120" i="20" s="1"/>
  <c r="A95" i="20"/>
  <c r="A96" i="20" s="1"/>
  <c r="A97" i="20" s="1"/>
  <c r="A98" i="20" s="1"/>
  <c r="A99" i="20" s="1"/>
  <c r="A100" i="20" s="1"/>
  <c r="A101" i="20" s="1"/>
  <c r="A102" i="20" s="1"/>
  <c r="A103" i="20" s="1"/>
  <c r="A104" i="20" s="1"/>
  <c r="A105" i="20" s="1"/>
  <c r="A106" i="20" s="1"/>
  <c r="A107" i="20" s="1"/>
  <c r="A108" i="20" s="1"/>
  <c r="E93" i="20"/>
  <c r="D93" i="20"/>
  <c r="A23" i="20"/>
  <c r="A24" i="20" s="1"/>
  <c r="A25" i="20" s="1"/>
  <c r="A55" i="20"/>
  <c r="A56" i="20" s="1"/>
  <c r="A57" i="20" s="1"/>
  <c r="A42" i="20"/>
  <c r="A43" i="20" s="1"/>
  <c r="A44" i="20" s="1"/>
  <c r="A45" i="20" s="1"/>
  <c r="A46" i="20" s="1"/>
  <c r="A47" i="20" s="1"/>
  <c r="A51" i="20"/>
  <c r="A49" i="20"/>
  <c r="E40" i="20"/>
  <c r="D40" i="20"/>
  <c r="A35" i="20"/>
  <c r="A36" i="20" s="1"/>
  <c r="E33" i="20"/>
  <c r="D33" i="20"/>
  <c r="H24" i="5"/>
  <c r="A124" i="12"/>
  <c r="A144" i="12"/>
  <c r="U48" i="36"/>
  <c r="U52" i="36"/>
  <c r="A116" i="12"/>
  <c r="L103" i="12"/>
  <c r="L110" i="12"/>
  <c r="L121" i="12"/>
  <c r="L150" i="12"/>
  <c r="I114" i="12"/>
  <c r="H114" i="12"/>
  <c r="I98" i="12"/>
  <c r="H79" i="12"/>
  <c r="H80" i="12"/>
  <c r="H81" i="12"/>
  <c r="H76" i="12"/>
  <c r="H77" i="12"/>
  <c r="H78" i="12"/>
  <c r="H87" i="12"/>
  <c r="H88" i="12"/>
  <c r="H89" i="12"/>
  <c r="H90" i="12"/>
  <c r="H91" i="12"/>
  <c r="H92" i="12"/>
  <c r="H98" i="12"/>
  <c r="E82" i="12"/>
  <c r="K82" i="12" s="1"/>
  <c r="H41" i="12"/>
  <c r="H42" i="12"/>
  <c r="H43" i="12"/>
  <c r="H46" i="12"/>
  <c r="H50" i="12"/>
  <c r="H56" i="12"/>
  <c r="H59" i="12"/>
  <c r="H60" i="12"/>
  <c r="H63" i="12"/>
  <c r="H64" i="12"/>
  <c r="H65" i="12"/>
  <c r="E66" i="12"/>
  <c r="K66" i="12" s="1"/>
  <c r="E51" i="12"/>
  <c r="K51" i="12" s="1"/>
  <c r="H6" i="12"/>
  <c r="H13" i="12"/>
  <c r="H14" i="12"/>
  <c r="H15" i="12"/>
  <c r="A37" i="12"/>
  <c r="A52" i="12"/>
  <c r="AA68" i="52"/>
  <c r="A100" i="51"/>
  <c r="A101" i="51" s="1"/>
  <c r="A102" i="51" s="1"/>
  <c r="CZ76" i="52"/>
  <c r="DA76" i="52"/>
  <c r="DB76" i="52"/>
  <c r="CT76" i="52"/>
  <c r="CU76" i="52"/>
  <c r="CH76" i="52"/>
  <c r="BA108" i="52"/>
  <c r="BG76" i="52"/>
  <c r="BL76" i="52"/>
  <c r="C68" i="52"/>
  <c r="E68" i="52"/>
  <c r="N68" i="52"/>
  <c r="P68" i="52"/>
  <c r="R68" i="52"/>
  <c r="U68" i="52"/>
  <c r="V68" i="52"/>
  <c r="W68" i="52"/>
  <c r="BB68" i="52"/>
  <c r="BE68" i="52"/>
  <c r="BG68" i="52"/>
  <c r="BI68" i="52"/>
  <c r="BL68" i="52"/>
  <c r="BM68" i="52"/>
  <c r="BN68" i="52"/>
  <c r="X68" i="52"/>
  <c r="AC68" i="52"/>
  <c r="AH68" i="52"/>
  <c r="AZ68" i="52"/>
  <c r="BA68" i="52"/>
  <c r="CT68" i="52"/>
  <c r="CU68" i="52"/>
  <c r="CV68" i="52"/>
  <c r="CW68" i="52"/>
  <c r="CX68" i="52"/>
  <c r="CY68" i="52"/>
  <c r="CZ68" i="52"/>
  <c r="DA68" i="52"/>
  <c r="DB68" i="52"/>
  <c r="DC68" i="52"/>
  <c r="DD68" i="52"/>
  <c r="CH68" i="52"/>
  <c r="CI68" i="52"/>
  <c r="CJ68" i="52"/>
  <c r="G70" i="5"/>
  <c r="F71" i="5"/>
  <c r="G71" i="5" s="1"/>
  <c r="G81" i="5"/>
  <c r="F32" i="2" s="1"/>
  <c r="G56" i="5"/>
  <c r="F19" i="2" s="1"/>
  <c r="F21" i="2" s="1"/>
  <c r="G96" i="5"/>
  <c r="F47" i="2" s="1"/>
  <c r="D97" i="5"/>
  <c r="D108" i="5" s="1"/>
  <c r="F113" i="36"/>
  <c r="A17" i="12"/>
  <c r="A2" i="12"/>
  <c r="AE112" i="51"/>
  <c r="AE113" i="51"/>
  <c r="AE114" i="51"/>
  <c r="AE98" i="51"/>
  <c r="AE103" i="51" s="1"/>
  <c r="AE73" i="51"/>
  <c r="AD112" i="51"/>
  <c r="AD113" i="51"/>
  <c r="AD114" i="51"/>
  <c r="E98" i="51"/>
  <c r="E103" i="51" s="1"/>
  <c r="G98" i="51"/>
  <c r="G103" i="51" s="1"/>
  <c r="H98" i="51"/>
  <c r="H103" i="51" s="1"/>
  <c r="I98" i="51"/>
  <c r="I103" i="51" s="1"/>
  <c r="J98" i="51"/>
  <c r="J103" i="51" s="1"/>
  <c r="K98" i="51"/>
  <c r="K103" i="51" s="1"/>
  <c r="L98" i="51"/>
  <c r="L103" i="51" s="1"/>
  <c r="M98" i="51"/>
  <c r="M103" i="51" s="1"/>
  <c r="N98" i="51"/>
  <c r="N103" i="51" s="1"/>
  <c r="O98" i="51"/>
  <c r="O103" i="51" s="1"/>
  <c r="P98" i="51"/>
  <c r="P103" i="51" s="1"/>
  <c r="Q98" i="51"/>
  <c r="Q103" i="51" s="1"/>
  <c r="R98" i="51"/>
  <c r="R103" i="51" s="1"/>
  <c r="S98" i="51"/>
  <c r="S103" i="51" s="1"/>
  <c r="T98" i="51"/>
  <c r="T103" i="51" s="1"/>
  <c r="U98" i="51"/>
  <c r="U103" i="51" s="1"/>
  <c r="V98" i="51"/>
  <c r="V103" i="51" s="1"/>
  <c r="AC98" i="51"/>
  <c r="AC103" i="51" s="1"/>
  <c r="AD98" i="51"/>
  <c r="AD103" i="51" s="1"/>
  <c r="C98" i="51"/>
  <c r="C103" i="51" s="1"/>
  <c r="J11" i="28"/>
  <c r="D82" i="5"/>
  <c r="F101" i="5"/>
  <c r="G93" i="5"/>
  <c r="F44" i="2" s="1"/>
  <c r="G94" i="5"/>
  <c r="F45" i="2" s="1"/>
  <c r="G95" i="5"/>
  <c r="F46" i="2" s="1"/>
  <c r="E77" i="5"/>
  <c r="D77" i="5"/>
  <c r="C28" i="2" s="1"/>
  <c r="D73" i="5"/>
  <c r="X57" i="52"/>
  <c r="X56" i="52"/>
  <c r="K11" i="28"/>
  <c r="E136" i="32" s="1"/>
  <c r="I136" i="32" s="1"/>
  <c r="K17" i="28"/>
  <c r="E137" i="32" s="1"/>
  <c r="I137" i="32" s="1"/>
  <c r="K23" i="28"/>
  <c r="B88" i="52"/>
  <c r="E109" i="5"/>
  <c r="J23" i="28"/>
  <c r="J17" i="28"/>
  <c r="J6" i="28"/>
  <c r="F97" i="5"/>
  <c r="E48" i="2" s="1"/>
  <c r="D109" i="5"/>
  <c r="B101" i="51"/>
  <c r="A67" i="51"/>
  <c r="D92" i="5"/>
  <c r="D105" i="5"/>
  <c r="E92" i="5"/>
  <c r="E105" i="5"/>
  <c r="D55" i="2" s="1"/>
  <c r="D59" i="5"/>
  <c r="D53" i="5"/>
  <c r="E73" i="5"/>
  <c r="D27" i="2" s="1"/>
  <c r="E82" i="5"/>
  <c r="D33" i="2" s="1"/>
  <c r="E115" i="8"/>
  <c r="E128" i="8"/>
  <c r="F126" i="8"/>
  <c r="G20" i="8"/>
  <c r="H73" i="51"/>
  <c r="H51" i="53"/>
  <c r="H45" i="53"/>
  <c r="H36" i="53"/>
  <c r="C3" i="55"/>
  <c r="J94" i="8"/>
  <c r="G94" i="8"/>
  <c r="G84" i="8"/>
  <c r="G32" i="8"/>
  <c r="B48" i="55"/>
  <c r="C48" i="55"/>
  <c r="J6" i="1"/>
  <c r="N2" i="53"/>
  <c r="M2" i="53"/>
  <c r="B3" i="47"/>
  <c r="E6" i="47" s="1"/>
  <c r="B7" i="47"/>
  <c r="C7" i="47"/>
  <c r="F7" i="47"/>
  <c r="D8" i="47"/>
  <c r="F9" i="47"/>
  <c r="G9" i="47"/>
  <c r="H9" i="47" s="1"/>
  <c r="I9" i="47" s="1"/>
  <c r="D10" i="47"/>
  <c r="C11" i="47"/>
  <c r="F11" i="47"/>
  <c r="B13" i="47"/>
  <c r="F13" i="47"/>
  <c r="G13" i="47"/>
  <c r="D14" i="47"/>
  <c r="B15" i="47"/>
  <c r="E16" i="47"/>
  <c r="B17" i="47"/>
  <c r="F17" i="47"/>
  <c r="G17" i="47"/>
  <c r="D18" i="47"/>
  <c r="B19" i="47"/>
  <c r="G19" i="47"/>
  <c r="D20" i="47"/>
  <c r="E20" i="47"/>
  <c r="B21" i="47"/>
  <c r="C21" i="47"/>
  <c r="F21" i="47"/>
  <c r="E22" i="47"/>
  <c r="B23" i="47"/>
  <c r="C23" i="47"/>
  <c r="F23" i="47"/>
  <c r="G23" i="47"/>
  <c r="H23" i="47" s="1"/>
  <c r="I23" i="47" s="1"/>
  <c r="D24" i="47"/>
  <c r="C25" i="47"/>
  <c r="F25" i="47"/>
  <c r="G25" i="47"/>
  <c r="D26" i="47"/>
  <c r="E26" i="47"/>
  <c r="B27" i="47"/>
  <c r="G27" i="47"/>
  <c r="D28" i="47"/>
  <c r="E28" i="47"/>
  <c r="B29" i="47"/>
  <c r="C29" i="47"/>
  <c r="F29" i="47"/>
  <c r="E30" i="47"/>
  <c r="B31" i="47"/>
  <c r="C31" i="47"/>
  <c r="F31" i="47"/>
  <c r="G31" i="47"/>
  <c r="H31" i="47" s="1"/>
  <c r="I31" i="47" s="1"/>
  <c r="D32" i="47"/>
  <c r="C33" i="47"/>
  <c r="F33" i="47"/>
  <c r="G33" i="47"/>
  <c r="D34" i="47"/>
  <c r="E34" i="47"/>
  <c r="B35" i="47"/>
  <c r="G35" i="47"/>
  <c r="D36" i="47"/>
  <c r="E36" i="47"/>
  <c r="B37" i="47"/>
  <c r="C37" i="47"/>
  <c r="F37" i="47"/>
  <c r="E38" i="47"/>
  <c r="B39" i="47"/>
  <c r="C39" i="47"/>
  <c r="F39" i="47"/>
  <c r="G39" i="47"/>
  <c r="D40" i="47"/>
  <c r="C41" i="47"/>
  <c r="F41" i="47"/>
  <c r="G41" i="47"/>
  <c r="D42" i="47"/>
  <c r="E42" i="47"/>
  <c r="B43" i="47"/>
  <c r="G43" i="47"/>
  <c r="D44" i="47"/>
  <c r="E44" i="47"/>
  <c r="B45" i="47"/>
  <c r="C45" i="47"/>
  <c r="F45" i="47"/>
  <c r="E46" i="47"/>
  <c r="B47" i="47"/>
  <c r="C47" i="47"/>
  <c r="F47" i="47"/>
  <c r="G47" i="47"/>
  <c r="D48" i="47"/>
  <c r="C49" i="47"/>
  <c r="F49" i="47"/>
  <c r="G49" i="47"/>
  <c r="D50" i="47"/>
  <c r="E50" i="47"/>
  <c r="G50" i="47"/>
  <c r="E51" i="47"/>
  <c r="F51" i="47"/>
  <c r="G51" i="47"/>
  <c r="C52" i="47"/>
  <c r="D52" i="47"/>
  <c r="E52" i="47"/>
  <c r="G52" i="47"/>
  <c r="B53" i="47"/>
  <c r="C53" i="47"/>
  <c r="D53" i="47"/>
  <c r="E53" i="47"/>
  <c r="F53" i="47"/>
  <c r="G53" i="47"/>
  <c r="H53" i="47" s="1"/>
  <c r="I53" i="47" s="1"/>
  <c r="B54" i="47"/>
  <c r="C54" i="47"/>
  <c r="D54" i="47"/>
  <c r="E54" i="47"/>
  <c r="F54" i="47"/>
  <c r="G54" i="47"/>
  <c r="B55" i="47"/>
  <c r="C55" i="47"/>
  <c r="D55" i="47"/>
  <c r="E55" i="47"/>
  <c r="F55" i="47"/>
  <c r="G55" i="47"/>
  <c r="B56" i="47"/>
  <c r="C56" i="47"/>
  <c r="D56" i="47"/>
  <c r="E56" i="47"/>
  <c r="F56" i="47"/>
  <c r="G56" i="47"/>
  <c r="B57" i="47"/>
  <c r="C57" i="47"/>
  <c r="D57" i="47"/>
  <c r="E57" i="47"/>
  <c r="F57" i="47"/>
  <c r="G57" i="47"/>
  <c r="B58" i="47"/>
  <c r="C58" i="47"/>
  <c r="D58" i="47"/>
  <c r="E58" i="47"/>
  <c r="F58" i="47"/>
  <c r="G58" i="47"/>
  <c r="B59" i="47"/>
  <c r="C59" i="47"/>
  <c r="D59" i="47"/>
  <c r="E59" i="47"/>
  <c r="F59" i="47"/>
  <c r="G59" i="47"/>
  <c r="G5" i="47"/>
  <c r="C5" i="47"/>
  <c r="D5" i="47"/>
  <c r="E5" i="47"/>
  <c r="F5" i="47"/>
  <c r="B5" i="47"/>
  <c r="A41" i="55"/>
  <c r="X70" i="52"/>
  <c r="D31" i="1"/>
  <c r="D111" i="20" s="1"/>
  <c r="F85" i="53"/>
  <c r="E85" i="53"/>
  <c r="D85" i="53"/>
  <c r="C85" i="53"/>
  <c r="B85" i="53"/>
  <c r="F110" i="36"/>
  <c r="M31" i="63" s="1"/>
  <c r="E110" i="36"/>
  <c r="J31" i="63" s="1"/>
  <c r="B69" i="52"/>
  <c r="CX70" i="52"/>
  <c r="CK70" i="52"/>
  <c r="CA70" i="52"/>
  <c r="C70" i="52"/>
  <c r="CX57" i="52"/>
  <c r="CX56" i="52"/>
  <c r="CK57" i="52"/>
  <c r="CK56" i="52"/>
  <c r="CA57" i="52"/>
  <c r="CA56" i="52"/>
  <c r="A55" i="52"/>
  <c r="A54" i="52"/>
  <c r="A83" i="51"/>
  <c r="A82" i="51"/>
  <c r="A68" i="51"/>
  <c r="A5" i="8"/>
  <c r="D3" i="24"/>
  <c r="E3" i="24"/>
  <c r="H2" i="24" s="1"/>
  <c r="D10" i="24"/>
  <c r="E10" i="24"/>
  <c r="D19" i="24"/>
  <c r="E19" i="24"/>
  <c r="D26" i="24"/>
  <c r="D35" i="24" s="1"/>
  <c r="D39" i="24" s="1"/>
  <c r="D43" i="24" s="1"/>
  <c r="D48" i="24" s="1"/>
  <c r="E26" i="24"/>
  <c r="E35" i="24" s="1"/>
  <c r="E39" i="24" s="1"/>
  <c r="E43" i="24" s="1"/>
  <c r="E48" i="24" s="1"/>
  <c r="D67" i="24"/>
  <c r="E73" i="51"/>
  <c r="G73" i="51"/>
  <c r="I73" i="51"/>
  <c r="J73" i="51"/>
  <c r="K73" i="51"/>
  <c r="L73" i="51"/>
  <c r="M73" i="51"/>
  <c r="N73" i="51"/>
  <c r="O73" i="51"/>
  <c r="P73" i="51"/>
  <c r="Q73" i="51"/>
  <c r="R73" i="51"/>
  <c r="S73" i="51"/>
  <c r="T73" i="51"/>
  <c r="U73" i="51"/>
  <c r="V73" i="51"/>
  <c r="AC73" i="51"/>
  <c r="AD73" i="51"/>
  <c r="C73" i="51"/>
  <c r="A61" i="2"/>
  <c r="E63" i="2"/>
  <c r="F63" i="2"/>
  <c r="D64" i="2"/>
  <c r="E64" i="2" s="1"/>
  <c r="F69" i="2" s="1"/>
  <c r="D65" i="2"/>
  <c r="E65" i="2" s="1"/>
  <c r="D66" i="2"/>
  <c r="E66" i="2"/>
  <c r="D68" i="2"/>
  <c r="E68" i="2"/>
  <c r="F68" i="2" s="1"/>
  <c r="A69" i="2"/>
  <c r="D80" i="2"/>
  <c r="D82" i="2"/>
  <c r="E67" i="24"/>
  <c r="D91" i="24"/>
  <c r="E91" i="24"/>
  <c r="D128" i="32"/>
  <c r="E128" i="32"/>
  <c r="D134" i="32"/>
  <c r="E134" i="32"/>
  <c r="D140" i="32"/>
  <c r="D144" i="32"/>
  <c r="D148" i="32"/>
  <c r="D155" i="32"/>
  <c r="E155" i="32"/>
  <c r="D160" i="32"/>
  <c r="E160" i="32"/>
  <c r="A89" i="8"/>
  <c r="B94" i="8"/>
  <c r="B76" i="8"/>
  <c r="B32" i="8"/>
  <c r="B12" i="8"/>
  <c r="A74" i="8"/>
  <c r="A30" i="8"/>
  <c r="A10" i="8"/>
  <c r="A69" i="8"/>
  <c r="A70" i="8"/>
  <c r="I72" i="8"/>
  <c r="I91" i="8"/>
  <c r="A92" i="8"/>
  <c r="B108" i="8"/>
  <c r="H108" i="8"/>
  <c r="D17" i="1"/>
  <c r="E17" i="1"/>
  <c r="F17" i="1"/>
  <c r="G17" i="1"/>
  <c r="D19" i="1"/>
  <c r="E19" i="1"/>
  <c r="F19" i="1"/>
  <c r="G19" i="1"/>
  <c r="D34" i="1"/>
  <c r="D37" i="1"/>
  <c r="E37" i="1"/>
  <c r="DE22" i="52"/>
  <c r="E2" i="5"/>
  <c r="D2" i="5"/>
  <c r="F3" i="1"/>
  <c r="G3" i="1"/>
  <c r="E4" i="2"/>
  <c r="D4" i="2" s="1"/>
  <c r="F4" i="2"/>
  <c r="C7" i="2"/>
  <c r="D7" i="2"/>
  <c r="A8" i="2"/>
  <c r="A9" i="2" s="1"/>
  <c r="A10" i="2" s="1"/>
  <c r="A12" i="2" s="1"/>
  <c r="A13" i="2" s="1"/>
  <c r="A14" i="2" s="1"/>
  <c r="A16" i="2" s="1"/>
  <c r="A17" i="2" s="1"/>
  <c r="A19" i="2" s="1"/>
  <c r="A20" i="2" s="1"/>
  <c r="A22" i="2" s="1"/>
  <c r="A23" i="2" s="1"/>
  <c r="A27" i="2" s="1"/>
  <c r="A28" i="2" s="1"/>
  <c r="A31" i="2" s="1"/>
  <c r="A32" i="2" s="1"/>
  <c r="A37" i="2" s="1"/>
  <c r="A38" i="2" s="1"/>
  <c r="A39" i="2" s="1"/>
  <c r="A40" i="2" s="1"/>
  <c r="A41" i="2" s="1"/>
  <c r="A42" i="2" s="1"/>
  <c r="A43" i="2" s="1"/>
  <c r="A44" i="2" s="1"/>
  <c r="A45" i="2" s="1"/>
  <c r="A46" i="2" s="1"/>
  <c r="A47" i="2" s="1"/>
  <c r="A48" i="2" s="1"/>
  <c r="A49" i="2" s="1"/>
  <c r="A50" i="2" s="1"/>
  <c r="A51" i="2" s="1"/>
  <c r="A52" i="2" s="1"/>
  <c r="A54" i="2" s="1"/>
  <c r="A55" i="2" s="1"/>
  <c r="A56" i="2" s="1"/>
  <c r="C8" i="2"/>
  <c r="D8" i="2"/>
  <c r="C9" i="2"/>
  <c r="D9" i="2"/>
  <c r="C10" i="2"/>
  <c r="D10" i="2"/>
  <c r="C13" i="2"/>
  <c r="D13" i="2"/>
  <c r="C14" i="2"/>
  <c r="D14" i="2"/>
  <c r="C16" i="2"/>
  <c r="C18" i="2" s="1"/>
  <c r="C19" i="2"/>
  <c r="D19" i="2"/>
  <c r="D21" i="2" s="1"/>
  <c r="C22" i="2"/>
  <c r="C31" i="2"/>
  <c r="D31" i="2"/>
  <c r="C32" i="2"/>
  <c r="D32" i="2"/>
  <c r="B37" i="2"/>
  <c r="C37" i="2"/>
  <c r="D37" i="2"/>
  <c r="B38" i="2"/>
  <c r="C38" i="2"/>
  <c r="D38" i="2"/>
  <c r="B39" i="2"/>
  <c r="C39" i="2"/>
  <c r="D39" i="2"/>
  <c r="B40" i="2"/>
  <c r="C40" i="2"/>
  <c r="D40" i="2"/>
  <c r="E40" i="2"/>
  <c r="F40" i="2"/>
  <c r="B41" i="2"/>
  <c r="C41" i="2"/>
  <c r="D41" i="2"/>
  <c r="E41" i="2"/>
  <c r="F41" i="2"/>
  <c r="B42" i="2"/>
  <c r="C42" i="2"/>
  <c r="D42" i="2"/>
  <c r="E42" i="2"/>
  <c r="F42" i="2"/>
  <c r="B43" i="2"/>
  <c r="B44" i="2"/>
  <c r="C44" i="2"/>
  <c r="D44" i="2"/>
  <c r="E44" i="2"/>
  <c r="B45" i="2"/>
  <c r="C45" i="2"/>
  <c r="D45" i="2"/>
  <c r="E45" i="2"/>
  <c r="B46" i="2"/>
  <c r="C46" i="2"/>
  <c r="D46" i="2"/>
  <c r="E46" i="2"/>
  <c r="B47" i="2"/>
  <c r="C47" i="2"/>
  <c r="D47" i="2"/>
  <c r="B48" i="2"/>
  <c r="B49" i="2"/>
  <c r="B50" i="2"/>
  <c r="B51" i="2"/>
  <c r="C51" i="2"/>
  <c r="D51" i="2"/>
  <c r="B52" i="2"/>
  <c r="C52" i="2"/>
  <c r="D52" i="2"/>
  <c r="B53" i="2"/>
  <c r="C53" i="2"/>
  <c r="D53" i="2"/>
  <c r="B54" i="2"/>
  <c r="C54" i="2"/>
  <c r="D54" i="2"/>
  <c r="E54" i="2"/>
  <c r="B55" i="2"/>
  <c r="B56" i="2"/>
  <c r="B57" i="2"/>
  <c r="B4" i="3"/>
  <c r="C4" i="3"/>
  <c r="D4" i="3"/>
  <c r="E4" i="3"/>
  <c r="B8" i="3"/>
  <c r="C8" i="3"/>
  <c r="B5" i="3"/>
  <c r="C27" i="2"/>
  <c r="C33" i="2"/>
  <c r="C43" i="2"/>
  <c r="F54" i="2"/>
  <c r="C55" i="2"/>
  <c r="A6" i="8"/>
  <c r="I8" i="8"/>
  <c r="A26" i="8"/>
  <c r="I28" i="8"/>
  <c r="B45" i="8"/>
  <c r="H45" i="8"/>
  <c r="E52" i="8"/>
  <c r="F61" i="8"/>
  <c r="E63" i="8"/>
  <c r="D3" i="20"/>
  <c r="E3" i="20"/>
  <c r="A5" i="20"/>
  <c r="A6" i="20" s="1"/>
  <c r="A7" i="20" s="1"/>
  <c r="A8" i="20" s="1"/>
  <c r="A9" i="20" s="1"/>
  <c r="A10" i="20" s="1"/>
  <c r="A11" i="20" s="1"/>
  <c r="A12" i="20" s="1"/>
  <c r="A13" i="20" s="1"/>
  <c r="A14" i="20" s="1"/>
  <c r="A15" i="20" s="1"/>
  <c r="A16" i="20" s="1"/>
  <c r="A18" i="20" s="1"/>
  <c r="A19" i="20" s="1"/>
  <c r="A62" i="20"/>
  <c r="A66" i="20"/>
  <c r="A67" i="20" s="1"/>
  <c r="A68" i="20" s="1"/>
  <c r="A69" i="20" s="1"/>
  <c r="A70" i="20" s="1"/>
  <c r="A71" i="20" s="1"/>
  <c r="D21" i="20"/>
  <c r="E21" i="20"/>
  <c r="D27" i="20"/>
  <c r="E27" i="20"/>
  <c r="D32" i="20"/>
  <c r="D53" i="20"/>
  <c r="E53" i="20"/>
  <c r="D60" i="20"/>
  <c r="E60" i="20"/>
  <c r="D64" i="20"/>
  <c r="E64" i="20"/>
  <c r="D80" i="20"/>
  <c r="E80" i="20"/>
  <c r="D86" i="20"/>
  <c r="D87" i="20"/>
  <c r="E87" i="20"/>
  <c r="D110" i="20"/>
  <c r="E110" i="20"/>
  <c r="D115" i="20"/>
  <c r="E115" i="20"/>
  <c r="C6" i="28"/>
  <c r="C11" i="28"/>
  <c r="C17" i="28"/>
  <c r="I17" i="28"/>
  <c r="C23" i="28"/>
  <c r="I23" i="28"/>
  <c r="D3" i="32"/>
  <c r="E3" i="32"/>
  <c r="H2" i="32" s="1"/>
  <c r="A6" i="32"/>
  <c r="D7" i="32"/>
  <c r="A11" i="32"/>
  <c r="D12" i="32"/>
  <c r="E12" i="32"/>
  <c r="A15" i="32"/>
  <c r="D110" i="32"/>
  <c r="E110" i="32"/>
  <c r="D114" i="32"/>
  <c r="E114" i="32"/>
  <c r="A122" i="32"/>
  <c r="B2" i="47"/>
  <c r="H2" i="47"/>
  <c r="H59" i="47" s="1"/>
  <c r="I59" i="47" s="1"/>
  <c r="H57" i="47"/>
  <c r="I57" i="47" s="1"/>
  <c r="H47" i="47"/>
  <c r="I47" i="47" s="1"/>
  <c r="A82" i="20"/>
  <c r="A83" i="20" s="1"/>
  <c r="A84" i="20" s="1"/>
  <c r="A85" i="20" s="1"/>
  <c r="A89" i="20"/>
  <c r="A90" i="20" s="1"/>
  <c r="A91" i="20" s="1"/>
  <c r="C6" i="2"/>
  <c r="B10" i="3"/>
  <c r="F100" i="5"/>
  <c r="C5" i="2"/>
  <c r="B9" i="3"/>
  <c r="E47" i="2"/>
  <c r="F8" i="2"/>
  <c r="E8" i="2"/>
  <c r="E89" i="32" l="1"/>
  <c r="E91" i="32" s="1"/>
  <c r="H50" i="8"/>
  <c r="G50" i="8"/>
  <c r="F50" i="8"/>
  <c r="E50" i="8"/>
  <c r="F51" i="8"/>
  <c r="G51" i="8"/>
  <c r="F18" i="51"/>
  <c r="BV23" i="52"/>
  <c r="D18" i="51"/>
  <c r="AV23" i="52"/>
  <c r="AW23" i="52"/>
  <c r="AX23" i="52"/>
  <c r="AY23" i="52"/>
  <c r="AR23" i="52"/>
  <c r="AS23" i="52"/>
  <c r="AT23" i="52"/>
  <c r="AU23" i="52"/>
  <c r="G18" i="51"/>
  <c r="AE23" i="52"/>
  <c r="AE26" i="52" s="1"/>
  <c r="BC23" i="52"/>
  <c r="BC26" i="52" s="1"/>
  <c r="Y23" i="52"/>
  <c r="Y26" i="52" s="1"/>
  <c r="F23" i="52"/>
  <c r="CG23" i="52"/>
  <c r="AL23" i="52"/>
  <c r="CF23" i="52"/>
  <c r="AQ23" i="52"/>
  <c r="AK23" i="52"/>
  <c r="CE23" i="52"/>
  <c r="AP23" i="52"/>
  <c r="I23" i="52"/>
  <c r="I26" i="52" s="1"/>
  <c r="CD23" i="52"/>
  <c r="AO23" i="52"/>
  <c r="AN23" i="52"/>
  <c r="AM23" i="52"/>
  <c r="E89" i="24"/>
  <c r="F51" i="5" s="1"/>
  <c r="G51" i="5" s="1"/>
  <c r="E17" i="24"/>
  <c r="F47" i="5" s="1"/>
  <c r="G47" i="5" s="1"/>
  <c r="D10" i="3"/>
  <c r="H66" i="12"/>
  <c r="G66" i="12"/>
  <c r="G16" i="5" s="1"/>
  <c r="E10" i="3"/>
  <c r="H31" i="12"/>
  <c r="G31" i="12"/>
  <c r="G16" i="12"/>
  <c r="F115" i="20"/>
  <c r="F40" i="20"/>
  <c r="F93" i="20"/>
  <c r="F33" i="20"/>
  <c r="F27" i="20"/>
  <c r="F110" i="20"/>
  <c r="F3" i="20"/>
  <c r="F3" i="24" s="1"/>
  <c r="F10" i="24" s="1"/>
  <c r="F80" i="20"/>
  <c r="B131" i="20"/>
  <c r="F64" i="20"/>
  <c r="F2" i="20"/>
  <c r="F2" i="24" s="1"/>
  <c r="F2" i="32" s="1"/>
  <c r="F60" i="20"/>
  <c r="B130" i="20"/>
  <c r="F53" i="20"/>
  <c r="F21" i="20"/>
  <c r="F73" i="20"/>
  <c r="F87" i="20"/>
  <c r="I135" i="32"/>
  <c r="E139" i="32"/>
  <c r="F74" i="5" s="1"/>
  <c r="E98" i="24"/>
  <c r="F52" i="5"/>
  <c r="E56" i="24"/>
  <c r="F49" i="5" s="1"/>
  <c r="G49" i="5" s="1"/>
  <c r="E33" i="24"/>
  <c r="F48" i="5" s="1"/>
  <c r="G48" i="5" s="1"/>
  <c r="D128" i="5"/>
  <c r="E128" i="5"/>
  <c r="E14" i="2"/>
  <c r="I85" i="32"/>
  <c r="E39" i="2"/>
  <c r="G73" i="5"/>
  <c r="F27" i="2" s="1"/>
  <c r="B124" i="32"/>
  <c r="B125" i="32"/>
  <c r="G64" i="5"/>
  <c r="E37" i="2"/>
  <c r="D48" i="2"/>
  <c r="E31" i="2"/>
  <c r="G80" i="5"/>
  <c r="G40" i="5"/>
  <c r="F14" i="2" s="1"/>
  <c r="G58" i="5"/>
  <c r="BS23" i="52"/>
  <c r="BZ23" i="52"/>
  <c r="BR23" i="52"/>
  <c r="BY23" i="52"/>
  <c r="BQ23" i="52"/>
  <c r="BX23" i="52"/>
  <c r="BP23" i="52"/>
  <c r="BW23" i="52"/>
  <c r="BO23" i="52"/>
  <c r="BU23" i="52"/>
  <c r="BT23" i="52"/>
  <c r="AB18" i="51"/>
  <c r="E84" i="32"/>
  <c r="I84" i="32" s="1"/>
  <c r="E111" i="20"/>
  <c r="E112" i="20" s="1"/>
  <c r="E113" i="20" s="1"/>
  <c r="F39" i="5" s="1"/>
  <c r="C111" i="20"/>
  <c r="E4" i="5"/>
  <c r="CR23" i="52"/>
  <c r="CB23" i="52"/>
  <c r="CN23" i="52"/>
  <c r="CP23" i="52"/>
  <c r="CL23" i="52"/>
  <c r="E6" i="2"/>
  <c r="C23" i="2"/>
  <c r="C20" i="2"/>
  <c r="C21" i="2"/>
  <c r="C48" i="2"/>
  <c r="H55" i="47"/>
  <c r="I55" i="47" s="1"/>
  <c r="H17" i="47"/>
  <c r="I17" i="47" s="1"/>
  <c r="G85" i="8"/>
  <c r="I85" i="8" s="1"/>
  <c r="A97" i="12"/>
  <c r="W18" i="51"/>
  <c r="W23" i="51" s="1"/>
  <c r="W121" i="51" s="1"/>
  <c r="H23" i="52"/>
  <c r="L23" i="52"/>
  <c r="N89" i="51"/>
  <c r="N156" i="51"/>
  <c r="C15" i="47"/>
  <c r="B11" i="47"/>
  <c r="D6" i="47"/>
  <c r="J32" i="8"/>
  <c r="G103" i="8"/>
  <c r="I103" i="8" s="1"/>
  <c r="P89" i="51"/>
  <c r="P156" i="51"/>
  <c r="G15" i="8"/>
  <c r="G6" i="8"/>
  <c r="C11" i="2"/>
  <c r="F6" i="2"/>
  <c r="E38" i="2"/>
  <c r="BI108" i="52"/>
  <c r="BI76" i="52"/>
  <c r="AG108" i="52"/>
  <c r="AG76" i="52"/>
  <c r="E108" i="52"/>
  <c r="E76" i="52"/>
  <c r="D108" i="52"/>
  <c r="D76" i="52"/>
  <c r="T108" i="52"/>
  <c r="T76" i="52"/>
  <c r="CC108" i="52"/>
  <c r="CC76" i="52"/>
  <c r="CS108" i="52"/>
  <c r="CS76" i="52"/>
  <c r="CQ23" i="52"/>
  <c r="CO23" i="52"/>
  <c r="H156" i="51"/>
  <c r="H89" i="51"/>
  <c r="S108" i="52"/>
  <c r="AD108" i="52"/>
  <c r="J108" i="52"/>
  <c r="J100" i="52"/>
  <c r="J104" i="52"/>
  <c r="J105" i="52"/>
  <c r="CA108" i="52"/>
  <c r="D104" i="52"/>
  <c r="D105" i="52"/>
  <c r="K108" i="52"/>
  <c r="BK108" i="52"/>
  <c r="I156" i="51"/>
  <c r="G156" i="51"/>
  <c r="I148" i="51"/>
  <c r="AC156" i="51"/>
  <c r="S156" i="51"/>
  <c r="O156" i="51"/>
  <c r="E32" i="1"/>
  <c r="D12" i="8" s="1"/>
  <c r="I19" i="8" s="1"/>
  <c r="R166" i="51"/>
  <c r="K166" i="51"/>
  <c r="S148" i="51"/>
  <c r="Q166" i="51"/>
  <c r="H166" i="51"/>
  <c r="E166" i="51"/>
  <c r="AC166" i="51"/>
  <c r="J166" i="51"/>
  <c r="E148" i="51"/>
  <c r="V166" i="51"/>
  <c r="O166" i="51"/>
  <c r="U166" i="51"/>
  <c r="C166" i="51"/>
  <c r="I166" i="51"/>
  <c r="G166" i="51"/>
  <c r="T166" i="51"/>
  <c r="M166" i="51"/>
  <c r="S166" i="51"/>
  <c r="L166" i="51"/>
  <c r="AE166" i="51"/>
  <c r="AD166" i="51"/>
  <c r="BG108" i="52"/>
  <c r="M108" i="52"/>
  <c r="AF108" i="52"/>
  <c r="AI108" i="52"/>
  <c r="Z108" i="52"/>
  <c r="CX108" i="52"/>
  <c r="AB108" i="52"/>
  <c r="C108" i="52"/>
  <c r="DD108" i="52"/>
  <c r="CM108" i="52"/>
  <c r="CZ108" i="52"/>
  <c r="CW108" i="52"/>
  <c r="CJ108" i="52"/>
  <c r="CH108" i="52"/>
  <c r="X108" i="52"/>
  <c r="DB108" i="52"/>
  <c r="CU108" i="52"/>
  <c r="AH108" i="52"/>
  <c r="CB108" i="52"/>
  <c r="BD108" i="52"/>
  <c r="CK108" i="52"/>
  <c r="BF108" i="52"/>
  <c r="BN108" i="52"/>
  <c r="BL108" i="52"/>
  <c r="DA108" i="52"/>
  <c r="BH108" i="52"/>
  <c r="G108" i="52"/>
  <c r="CT108" i="52"/>
  <c r="DA104" i="52"/>
  <c r="DA105" i="52"/>
  <c r="W100" i="52"/>
  <c r="W105" i="52"/>
  <c r="W104" i="52"/>
  <c r="BN100" i="52"/>
  <c r="BN105" i="52"/>
  <c r="BN104" i="52"/>
  <c r="AH100" i="52"/>
  <c r="AH105" i="52"/>
  <c r="AH104" i="52"/>
  <c r="BB108" i="52"/>
  <c r="CB105" i="52"/>
  <c r="CB104" i="52"/>
  <c r="CB100" i="52"/>
  <c r="CY105" i="52"/>
  <c r="CY104" i="52"/>
  <c r="O100" i="52"/>
  <c r="O105" i="52"/>
  <c r="O104" i="52"/>
  <c r="BH105" i="52"/>
  <c r="BH104" i="52"/>
  <c r="BH100" i="52"/>
  <c r="P108" i="52"/>
  <c r="AA104" i="52"/>
  <c r="AA100" i="52"/>
  <c r="AA105" i="52"/>
  <c r="G100" i="52"/>
  <c r="G105" i="52"/>
  <c r="G104" i="52"/>
  <c r="AA108" i="52"/>
  <c r="CU105" i="52"/>
  <c r="CU104" i="52"/>
  <c r="DD105" i="52"/>
  <c r="DD104" i="52"/>
  <c r="BM100" i="52"/>
  <c r="BM105" i="52"/>
  <c r="BM104" i="52"/>
  <c r="AF105" i="52"/>
  <c r="AF104" i="52"/>
  <c r="AF100" i="52"/>
  <c r="BB105" i="52"/>
  <c r="BB104" i="52"/>
  <c r="BB100" i="52"/>
  <c r="CY108" i="52"/>
  <c r="Z105" i="52"/>
  <c r="Z104" i="52"/>
  <c r="T105" i="52"/>
  <c r="T104" i="52"/>
  <c r="T100" i="52"/>
  <c r="AG105" i="52"/>
  <c r="AG104" i="52"/>
  <c r="AG100" i="52"/>
  <c r="N108" i="52"/>
  <c r="AB105" i="52"/>
  <c r="AB104" i="52"/>
  <c r="AB100" i="52"/>
  <c r="CT105" i="52"/>
  <c r="CT104" i="52"/>
  <c r="BL105" i="52"/>
  <c r="BL104" i="52"/>
  <c r="BL100" i="52"/>
  <c r="DC105" i="52"/>
  <c r="DC104" i="52"/>
  <c r="BA105" i="52"/>
  <c r="BA104" i="52"/>
  <c r="BA100" i="52"/>
  <c r="X105" i="52"/>
  <c r="X104" i="52"/>
  <c r="AC108" i="52"/>
  <c r="CK100" i="52"/>
  <c r="CK105" i="52"/>
  <c r="CK104" i="52"/>
  <c r="Q108" i="52"/>
  <c r="BD105" i="52"/>
  <c r="BD104" i="52"/>
  <c r="BD100" i="52"/>
  <c r="BJ108" i="52"/>
  <c r="E100" i="52"/>
  <c r="E105" i="52"/>
  <c r="E104" i="52"/>
  <c r="DC108" i="52"/>
  <c r="CC105" i="52"/>
  <c r="CC104" i="52"/>
  <c r="CC100" i="52"/>
  <c r="BI105" i="52"/>
  <c r="BI104" i="52"/>
  <c r="BI100" i="52"/>
  <c r="CW105" i="52"/>
  <c r="CW104" i="52"/>
  <c r="AZ105" i="52"/>
  <c r="AZ104" i="52"/>
  <c r="AZ100" i="52"/>
  <c r="AC105" i="52"/>
  <c r="AC104" i="52"/>
  <c r="AC100" i="52"/>
  <c r="Q100" i="52"/>
  <c r="Q105" i="52"/>
  <c r="Q104" i="52"/>
  <c r="BJ105" i="52"/>
  <c r="BJ104" i="52"/>
  <c r="BJ100" i="52"/>
  <c r="N100" i="52"/>
  <c r="N105" i="52"/>
  <c r="N104" i="52"/>
  <c r="CV108" i="52"/>
  <c r="BM108" i="52"/>
  <c r="BG104" i="52"/>
  <c r="BG105" i="52"/>
  <c r="BG100" i="52"/>
  <c r="CV105" i="52"/>
  <c r="CV104" i="52"/>
  <c r="BE108" i="52"/>
  <c r="CM105" i="52"/>
  <c r="CM104" i="52"/>
  <c r="AI100" i="52"/>
  <c r="AI105" i="52"/>
  <c r="AI104" i="52"/>
  <c r="C104" i="52"/>
  <c r="C105" i="52"/>
  <c r="M105" i="52"/>
  <c r="M104" i="52"/>
  <c r="M100" i="52"/>
  <c r="CI108" i="52"/>
  <c r="U105" i="52"/>
  <c r="U104" i="52"/>
  <c r="U100" i="52"/>
  <c r="CJ105" i="52"/>
  <c r="CJ104" i="52"/>
  <c r="CJ100" i="52"/>
  <c r="CZ105" i="52"/>
  <c r="CZ104" i="52"/>
  <c r="BE100" i="52"/>
  <c r="BE105" i="52"/>
  <c r="BE104" i="52"/>
  <c r="BF100" i="52"/>
  <c r="BF105" i="52"/>
  <c r="BF104" i="52"/>
  <c r="V100" i="52"/>
  <c r="V105" i="52"/>
  <c r="V104" i="52"/>
  <c r="W108" i="52"/>
  <c r="DB105" i="52"/>
  <c r="DB104" i="52"/>
  <c r="R104" i="52"/>
  <c r="R100" i="52"/>
  <c r="R105" i="52"/>
  <c r="CI105" i="52"/>
  <c r="CI104" i="52"/>
  <c r="CI100" i="52"/>
  <c r="CS104" i="52"/>
  <c r="CS105" i="52"/>
  <c r="CA104" i="52"/>
  <c r="CA100" i="52"/>
  <c r="CA105" i="52"/>
  <c r="CX105" i="52"/>
  <c r="CX104" i="52"/>
  <c r="S105" i="52"/>
  <c r="S104" i="52"/>
  <c r="S100" i="52"/>
  <c r="AD105" i="52"/>
  <c r="AD104" i="52"/>
  <c r="AD100" i="52"/>
  <c r="AJ108" i="52"/>
  <c r="BK105" i="52"/>
  <c r="BK104" i="52"/>
  <c r="BK100" i="52"/>
  <c r="U108" i="52"/>
  <c r="K105" i="52"/>
  <c r="K104" i="52"/>
  <c r="K100" i="52"/>
  <c r="V108" i="52"/>
  <c r="P100" i="52"/>
  <c r="P105" i="52"/>
  <c r="P104" i="52"/>
  <c r="CH105" i="52"/>
  <c r="CH104" i="52"/>
  <c r="CH100" i="52"/>
  <c r="O108" i="52"/>
  <c r="AJ104" i="52"/>
  <c r="AJ100" i="52"/>
  <c r="AJ105" i="52"/>
  <c r="R108" i="52"/>
  <c r="AZ108" i="52"/>
  <c r="J156" i="51"/>
  <c r="H148" i="51"/>
  <c r="G148" i="51"/>
  <c r="AE121" i="51"/>
  <c r="AE131" i="51"/>
  <c r="AE127" i="51"/>
  <c r="AE118" i="51"/>
  <c r="Q99" i="51"/>
  <c r="Q100" i="51" s="1"/>
  <c r="R148" i="51"/>
  <c r="J148" i="51"/>
  <c r="E156" i="51"/>
  <c r="AD118" i="51"/>
  <c r="AD121" i="51"/>
  <c r="AD131" i="51"/>
  <c r="AD127" i="51"/>
  <c r="V156" i="51"/>
  <c r="R156" i="51"/>
  <c r="Q148" i="51"/>
  <c r="E99" i="51"/>
  <c r="E101" i="51" s="1"/>
  <c r="K148" i="51"/>
  <c r="U156" i="51"/>
  <c r="Q156" i="51"/>
  <c r="M156" i="51"/>
  <c r="AC148" i="51"/>
  <c r="O148" i="51"/>
  <c r="C156" i="51"/>
  <c r="U99" i="51"/>
  <c r="U101" i="51" s="1"/>
  <c r="V148" i="51"/>
  <c r="C101" i="51"/>
  <c r="I99" i="51"/>
  <c r="I101" i="51" s="1"/>
  <c r="G99" i="51"/>
  <c r="G101" i="51" s="1"/>
  <c r="K156" i="51"/>
  <c r="T156" i="51"/>
  <c r="L156" i="51"/>
  <c r="U148" i="51"/>
  <c r="M148" i="51"/>
  <c r="C148" i="51"/>
  <c r="AE156" i="51"/>
  <c r="T148" i="51"/>
  <c r="L148" i="51"/>
  <c r="E83" i="32"/>
  <c r="G42" i="1"/>
  <c r="D42" i="1"/>
  <c r="E42" i="1"/>
  <c r="F42" i="1"/>
  <c r="J8" i="8"/>
  <c r="K6" i="8" s="1"/>
  <c r="G41" i="8"/>
  <c r="I41" i="8" s="1"/>
  <c r="J12" i="8"/>
  <c r="I21" i="8" s="1"/>
  <c r="H50" i="47"/>
  <c r="I50" i="47" s="1"/>
  <c r="D98" i="5"/>
  <c r="H58" i="47"/>
  <c r="I58" i="47" s="1"/>
  <c r="H54" i="47"/>
  <c r="I54" i="47" s="1"/>
  <c r="H51" i="47"/>
  <c r="I51" i="47" s="1"/>
  <c r="H49" i="47"/>
  <c r="I49" i="47" s="1"/>
  <c r="H41" i="47"/>
  <c r="I41" i="47" s="1"/>
  <c r="H33" i="47"/>
  <c r="I33" i="47" s="1"/>
  <c r="H25" i="47"/>
  <c r="I25" i="47" s="1"/>
  <c r="H13" i="47"/>
  <c r="I13" i="47" s="1"/>
  <c r="H5" i="47"/>
  <c r="I5" i="47" s="1"/>
  <c r="I151" i="32"/>
  <c r="E197" i="36" s="1"/>
  <c r="D11" i="2"/>
  <c r="C51" i="47"/>
  <c r="B49" i="47"/>
  <c r="D46" i="47"/>
  <c r="F43" i="47"/>
  <c r="B41" i="47"/>
  <c r="D38" i="47"/>
  <c r="F35" i="47"/>
  <c r="B33" i="47"/>
  <c r="D30" i="47"/>
  <c r="F27" i="47"/>
  <c r="B25" i="47"/>
  <c r="D22" i="47"/>
  <c r="F19" i="47"/>
  <c r="D16" i="47"/>
  <c r="E12" i="47"/>
  <c r="B9" i="47"/>
  <c r="H39" i="47"/>
  <c r="I39" i="47" s="1"/>
  <c r="I2" i="47"/>
  <c r="H56" i="47"/>
  <c r="I56" i="47" s="1"/>
  <c r="H52" i="47"/>
  <c r="I52" i="47" s="1"/>
  <c r="B51" i="47"/>
  <c r="E48" i="47"/>
  <c r="G45" i="47"/>
  <c r="H45" i="47" s="1"/>
  <c r="I45" i="47" s="1"/>
  <c r="C43" i="47"/>
  <c r="E40" i="47"/>
  <c r="G37" i="47"/>
  <c r="H37" i="47" s="1"/>
  <c r="I37" i="47" s="1"/>
  <c r="C35" i="47"/>
  <c r="E32" i="47"/>
  <c r="G29" i="47"/>
  <c r="H29" i="47" s="1"/>
  <c r="I29" i="47" s="1"/>
  <c r="C27" i="47"/>
  <c r="E24" i="47"/>
  <c r="G21" i="47"/>
  <c r="H21" i="47" s="1"/>
  <c r="I21" i="47" s="1"/>
  <c r="C19" i="47"/>
  <c r="F15" i="47"/>
  <c r="D12" i="47"/>
  <c r="E8" i="47"/>
  <c r="E53" i="8"/>
  <c r="J53" i="8" s="1"/>
  <c r="G16" i="8"/>
  <c r="K16" i="12"/>
  <c r="M88" i="52"/>
  <c r="E195" i="36"/>
  <c r="G37" i="1"/>
  <c r="F37" i="1"/>
  <c r="G52" i="5"/>
  <c r="F92" i="5"/>
  <c r="E43" i="2" s="1"/>
  <c r="D78" i="5"/>
  <c r="C29" i="2"/>
  <c r="C24" i="2"/>
  <c r="C17" i="2"/>
  <c r="BM88" i="52"/>
  <c r="BA88" i="52"/>
  <c r="AZ88" i="52"/>
  <c r="O18" i="51"/>
  <c r="O23" i="51" s="1"/>
  <c r="O121" i="51" s="1"/>
  <c r="AA18" i="51"/>
  <c r="AA23" i="51" s="1"/>
  <c r="AA121" i="51" s="1"/>
  <c r="U23" i="52"/>
  <c r="BM23" i="52"/>
  <c r="X23" i="52"/>
  <c r="Z18" i="51"/>
  <c r="Z23" i="51" s="1"/>
  <c r="Z121" i="51" s="1"/>
  <c r="Y18" i="51"/>
  <c r="Y23" i="51" s="1"/>
  <c r="Y121" i="51" s="1"/>
  <c r="X18" i="51"/>
  <c r="X23" i="51" s="1"/>
  <c r="X121" i="51" s="1"/>
  <c r="U18" i="51"/>
  <c r="U23" i="51" s="1"/>
  <c r="U121" i="51" s="1"/>
  <c r="I84" i="8"/>
  <c r="I40" i="8"/>
  <c r="C10" i="3"/>
  <c r="D32" i="1"/>
  <c r="CC23" i="52"/>
  <c r="CI23" i="52"/>
  <c r="K18" i="51"/>
  <c r="K23" i="51" s="1"/>
  <c r="K121" i="51" s="1"/>
  <c r="CS23" i="52"/>
  <c r="CW23" i="52"/>
  <c r="Q18" i="51"/>
  <c r="Q23" i="51" s="1"/>
  <c r="Q121" i="51" s="1"/>
  <c r="P23" i="52"/>
  <c r="DD23" i="52"/>
  <c r="G87" i="52"/>
  <c r="J127" i="8"/>
  <c r="F65" i="2"/>
  <c r="F64" i="2"/>
  <c r="O99" i="51"/>
  <c r="O101" i="51" s="1"/>
  <c r="M99" i="51"/>
  <c r="M101" i="51" s="1"/>
  <c r="K99" i="51"/>
  <c r="K100" i="51" s="1"/>
  <c r="N99" i="51"/>
  <c r="N101" i="51" s="1"/>
  <c r="AD18" i="51"/>
  <c r="T18" i="51"/>
  <c r="T23" i="51" s="1"/>
  <c r="T121" i="51" s="1"/>
  <c r="CU23" i="52"/>
  <c r="CZ23" i="52"/>
  <c r="R23" i="52"/>
  <c r="CH23" i="52"/>
  <c r="CV23" i="52"/>
  <c r="DC23" i="52"/>
  <c r="BI23" i="52"/>
  <c r="P18" i="51"/>
  <c r="P23" i="51" s="1"/>
  <c r="P121" i="51" s="1"/>
  <c r="L18" i="51"/>
  <c r="V99" i="51"/>
  <c r="V101" i="51" s="1"/>
  <c r="AC99" i="51"/>
  <c r="AC100" i="51" s="1"/>
  <c r="S99" i="51"/>
  <c r="S101" i="51" s="1"/>
  <c r="L99" i="51"/>
  <c r="L101" i="51" s="1"/>
  <c r="H99" i="51"/>
  <c r="H101" i="51" s="1"/>
  <c r="V18" i="51"/>
  <c r="V23" i="51" s="1"/>
  <c r="V121" i="51" s="1"/>
  <c r="N23" i="52"/>
  <c r="AZ23" i="52"/>
  <c r="CJ23" i="52"/>
  <c r="DB23" i="52"/>
  <c r="BN23" i="52"/>
  <c r="BL23" i="52"/>
  <c r="N18" i="51"/>
  <c r="N23" i="51" s="1"/>
  <c r="CM23" i="52"/>
  <c r="R99" i="51"/>
  <c r="R101" i="51" s="1"/>
  <c r="AE101" i="51"/>
  <c r="P99" i="51"/>
  <c r="P101" i="51" s="1"/>
  <c r="R18" i="51"/>
  <c r="R23" i="51" s="1"/>
  <c r="R121" i="51" s="1"/>
  <c r="W23" i="52"/>
  <c r="E18" i="51"/>
  <c r="S18" i="51"/>
  <c r="S23" i="51" s="1"/>
  <c r="S121" i="51" s="1"/>
  <c r="AC18" i="51"/>
  <c r="AC23" i="51" s="1"/>
  <c r="AC121" i="51" s="1"/>
  <c r="V23" i="52"/>
  <c r="CY23" i="52"/>
  <c r="BA23" i="52"/>
  <c r="CT23" i="52"/>
  <c r="DA23" i="52"/>
  <c r="AE18" i="51"/>
  <c r="BG23" i="52"/>
  <c r="M18" i="51"/>
  <c r="M23" i="51" s="1"/>
  <c r="M121" i="51" s="1"/>
  <c r="CX23" i="52"/>
  <c r="CK23" i="52"/>
  <c r="AD101" i="51"/>
  <c r="T99" i="51"/>
  <c r="T101" i="51" s="1"/>
  <c r="J99" i="51"/>
  <c r="J101" i="51" s="1"/>
  <c r="AD54" i="51"/>
  <c r="AD156" i="51" s="1"/>
  <c r="B100" i="51"/>
  <c r="Z88" i="52"/>
  <c r="BJ88" i="52"/>
  <c r="C4" i="2"/>
  <c r="F82" i="5"/>
  <c r="E33" i="2" s="1"/>
  <c r="E32" i="2"/>
  <c r="CW88" i="52"/>
  <c r="CW87" i="52"/>
  <c r="F37" i="2"/>
  <c r="G92" i="5"/>
  <c r="E51" i="2"/>
  <c r="G100" i="5"/>
  <c r="F51" i="2" s="1"/>
  <c r="E78" i="5"/>
  <c r="D28" i="2"/>
  <c r="D29" i="2" s="1"/>
  <c r="G101" i="5"/>
  <c r="F52" i="2" s="1"/>
  <c r="E52" i="2"/>
  <c r="E66" i="53"/>
  <c r="F66" i="53"/>
  <c r="D66" i="53"/>
  <c r="C66" i="53"/>
  <c r="H82" i="12"/>
  <c r="E98" i="5"/>
  <c r="D43" i="2"/>
  <c r="E90" i="2"/>
  <c r="D66" i="5"/>
  <c r="F73" i="5"/>
  <c r="E27" i="2" s="1"/>
  <c r="W87" i="52"/>
  <c r="W88" i="52"/>
  <c r="CV88" i="52"/>
  <c r="CV87" i="52"/>
  <c r="A113" i="12"/>
  <c r="I102" i="8"/>
  <c r="J63" i="8"/>
  <c r="A39" i="36"/>
  <c r="DD88" i="52"/>
  <c r="CJ88" i="52"/>
  <c r="CJ87" i="52"/>
  <c r="H93" i="12"/>
  <c r="Q87" i="52"/>
  <c r="BN88" i="52"/>
  <c r="H19" i="47"/>
  <c r="I19" i="47" s="1"/>
  <c r="H27" i="47"/>
  <c r="I27" i="47" s="1"/>
  <c r="H35" i="47"/>
  <c r="I35" i="47" s="1"/>
  <c r="H43" i="47"/>
  <c r="I43" i="47" s="1"/>
  <c r="J25" i="28"/>
  <c r="E132" i="5" s="1"/>
  <c r="G97" i="5"/>
  <c r="F48" i="2" s="1"/>
  <c r="DC88" i="52"/>
  <c r="CI88" i="52"/>
  <c r="CI87" i="52"/>
  <c r="A47" i="36"/>
  <c r="V87" i="52"/>
  <c r="V88" i="52"/>
  <c r="D112" i="20"/>
  <c r="BF88" i="52"/>
  <c r="Q88" i="52"/>
  <c r="BG88" i="52"/>
  <c r="CH88" i="52"/>
  <c r="CH87" i="52"/>
  <c r="H51" i="12"/>
  <c r="G93" i="12"/>
  <c r="E18" i="47"/>
  <c r="C17" i="47"/>
  <c r="G15" i="47"/>
  <c r="H15" i="47" s="1"/>
  <c r="I15" i="47" s="1"/>
  <c r="E14" i="47"/>
  <c r="C13" i="47"/>
  <c r="G11" i="47"/>
  <c r="H11" i="47" s="1"/>
  <c r="I11" i="47" s="1"/>
  <c r="E10" i="47"/>
  <c r="C9" i="47"/>
  <c r="G7" i="47"/>
  <c r="H7" i="47" s="1"/>
  <c r="I7" i="47" s="1"/>
  <c r="K26" i="28"/>
  <c r="E138" i="32"/>
  <c r="I138" i="32" s="1"/>
  <c r="G57" i="5"/>
  <c r="G76" i="5"/>
  <c r="DD70" i="52"/>
  <c r="F56" i="5" s="1"/>
  <c r="E19" i="2" s="1"/>
  <c r="E21" i="2" s="1"/>
  <c r="BA70" i="52"/>
  <c r="W70" i="52"/>
  <c r="F34" i="5" s="1"/>
  <c r="H34" i="5" s="1"/>
  <c r="DA88" i="52"/>
  <c r="DA87" i="52"/>
  <c r="H16" i="12"/>
  <c r="B6" i="47"/>
  <c r="F6" i="47"/>
  <c r="D7" i="47"/>
  <c r="B8" i="47"/>
  <c r="F8" i="47"/>
  <c r="D9" i="47"/>
  <c r="B10" i="47"/>
  <c r="F10" i="47"/>
  <c r="D11" i="47"/>
  <c r="B12" i="47"/>
  <c r="F12" i="47"/>
  <c r="D13" i="47"/>
  <c r="B14" i="47"/>
  <c r="F14" i="47"/>
  <c r="D15" i="47"/>
  <c r="B16" i="47"/>
  <c r="F16" i="47"/>
  <c r="D17" i="47"/>
  <c r="B18" i="47"/>
  <c r="F18" i="47"/>
  <c r="D19" i="47"/>
  <c r="B20" i="47"/>
  <c r="F20" i="47"/>
  <c r="D21" i="47"/>
  <c r="B22" i="47"/>
  <c r="F22" i="47"/>
  <c r="D23" i="47"/>
  <c r="B24" i="47"/>
  <c r="F24" i="47"/>
  <c r="D25" i="47"/>
  <c r="B26" i="47"/>
  <c r="F26" i="47"/>
  <c r="D27" i="47"/>
  <c r="B28" i="47"/>
  <c r="F28" i="47"/>
  <c r="D29" i="47"/>
  <c r="B30" i="47"/>
  <c r="F30" i="47"/>
  <c r="D31" i="47"/>
  <c r="B32" i="47"/>
  <c r="F32" i="47"/>
  <c r="D33" i="47"/>
  <c r="B34" i="47"/>
  <c r="F34" i="47"/>
  <c r="D35" i="47"/>
  <c r="B36" i="47"/>
  <c r="F36" i="47"/>
  <c r="D37" i="47"/>
  <c r="B38" i="47"/>
  <c r="F38" i="47"/>
  <c r="D39" i="47"/>
  <c r="B40" i="47"/>
  <c r="F40" i="47"/>
  <c r="D41" i="47"/>
  <c r="B42" i="47"/>
  <c r="F42" i="47"/>
  <c r="D43" i="47"/>
  <c r="B44" i="47"/>
  <c r="F44" i="47"/>
  <c r="D45" i="47"/>
  <c r="B46" i="47"/>
  <c r="F46" i="47"/>
  <c r="D47" i="47"/>
  <c r="B48" i="47"/>
  <c r="F48" i="47"/>
  <c r="D49" i="47"/>
  <c r="B50" i="47"/>
  <c r="F50" i="47"/>
  <c r="D51" i="47"/>
  <c r="B52" i="47"/>
  <c r="F52" i="47"/>
  <c r="C6" i="47"/>
  <c r="G6" i="47"/>
  <c r="H6" i="47" s="1"/>
  <c r="I6" i="47" s="1"/>
  <c r="E7" i="47"/>
  <c r="C8" i="47"/>
  <c r="G8" i="47"/>
  <c r="H8" i="47" s="1"/>
  <c r="I8" i="47" s="1"/>
  <c r="E9" i="47"/>
  <c r="C10" i="47"/>
  <c r="G10" i="47"/>
  <c r="H10" i="47" s="1"/>
  <c r="I10" i="47" s="1"/>
  <c r="E11" i="47"/>
  <c r="C12" i="47"/>
  <c r="G12" i="47"/>
  <c r="H12" i="47" s="1"/>
  <c r="I12" i="47" s="1"/>
  <c r="E13" i="47"/>
  <c r="C14" i="47"/>
  <c r="G14" i="47"/>
  <c r="H14" i="47" s="1"/>
  <c r="I14" i="47" s="1"/>
  <c r="E15" i="47"/>
  <c r="C16" i="47"/>
  <c r="G16" i="47"/>
  <c r="H16" i="47" s="1"/>
  <c r="I16" i="47" s="1"/>
  <c r="E17" i="47"/>
  <c r="C18" i="47"/>
  <c r="G18" i="47"/>
  <c r="H18" i="47" s="1"/>
  <c r="I18" i="47" s="1"/>
  <c r="E19" i="47"/>
  <c r="C20" i="47"/>
  <c r="G20" i="47"/>
  <c r="H20" i="47" s="1"/>
  <c r="I20" i="47" s="1"/>
  <c r="E21" i="47"/>
  <c r="C22" i="47"/>
  <c r="G22" i="47"/>
  <c r="H22" i="47" s="1"/>
  <c r="I22" i="47" s="1"/>
  <c r="E23" i="47"/>
  <c r="C24" i="47"/>
  <c r="G24" i="47"/>
  <c r="H24" i="47" s="1"/>
  <c r="I24" i="47" s="1"/>
  <c r="E25" i="47"/>
  <c r="C26" i="47"/>
  <c r="G26" i="47"/>
  <c r="H26" i="47" s="1"/>
  <c r="I26" i="47" s="1"/>
  <c r="E27" i="47"/>
  <c r="C28" i="47"/>
  <c r="G28" i="47"/>
  <c r="H28" i="47" s="1"/>
  <c r="I28" i="47" s="1"/>
  <c r="E29" i="47"/>
  <c r="C30" i="47"/>
  <c r="G30" i="47"/>
  <c r="H30" i="47" s="1"/>
  <c r="I30" i="47" s="1"/>
  <c r="E31" i="47"/>
  <c r="C32" i="47"/>
  <c r="G32" i="47"/>
  <c r="H32" i="47" s="1"/>
  <c r="I32" i="47" s="1"/>
  <c r="E33" i="47"/>
  <c r="C34" i="47"/>
  <c r="G34" i="47"/>
  <c r="H34" i="47" s="1"/>
  <c r="I34" i="47" s="1"/>
  <c r="E35" i="47"/>
  <c r="C36" i="47"/>
  <c r="G36" i="47"/>
  <c r="H36" i="47" s="1"/>
  <c r="I36" i="47" s="1"/>
  <c r="E37" i="47"/>
  <c r="C38" i="47"/>
  <c r="G38" i="47"/>
  <c r="H38" i="47" s="1"/>
  <c r="I38" i="47" s="1"/>
  <c r="E39" i="47"/>
  <c r="C40" i="47"/>
  <c r="G40" i="47"/>
  <c r="H40" i="47" s="1"/>
  <c r="I40" i="47" s="1"/>
  <c r="E41" i="47"/>
  <c r="C42" i="47"/>
  <c r="G42" i="47"/>
  <c r="H42" i="47" s="1"/>
  <c r="I42" i="47" s="1"/>
  <c r="E43" i="47"/>
  <c r="C44" i="47"/>
  <c r="G44" i="47"/>
  <c r="H44" i="47" s="1"/>
  <c r="I44" i="47" s="1"/>
  <c r="E45" i="47"/>
  <c r="C46" i="47"/>
  <c r="G46" i="47"/>
  <c r="H46" i="47" s="1"/>
  <c r="I46" i="47" s="1"/>
  <c r="E47" i="47"/>
  <c r="C48" i="47"/>
  <c r="G48" i="47"/>
  <c r="H48" i="47" s="1"/>
  <c r="I48" i="47" s="1"/>
  <c r="E49" i="47"/>
  <c r="C50" i="47"/>
  <c r="G82" i="12"/>
  <c r="CU88" i="52"/>
  <c r="CU87" i="52"/>
  <c r="U87" i="52"/>
  <c r="U88" i="52"/>
  <c r="I97" i="24"/>
  <c r="E190" i="36" s="1"/>
  <c r="I9" i="24"/>
  <c r="E189" i="36" s="1"/>
  <c r="J62" i="8"/>
  <c r="G23" i="51"/>
  <c r="G121" i="51" s="1"/>
  <c r="AB23" i="52"/>
  <c r="G23" i="52"/>
  <c r="BK23" i="52"/>
  <c r="BH23" i="52"/>
  <c r="BD23" i="52"/>
  <c r="AI23" i="52"/>
  <c r="AD23" i="52"/>
  <c r="S23" i="52"/>
  <c r="I18" i="51"/>
  <c r="I23" i="51" s="1"/>
  <c r="I121" i="51" s="1"/>
  <c r="CA23" i="52"/>
  <c r="K23" i="52"/>
  <c r="C23" i="52"/>
  <c r="D23" i="52"/>
  <c r="E23" i="52"/>
  <c r="J23" i="52"/>
  <c r="BJ23" i="52"/>
  <c r="Q23" i="52"/>
  <c r="J18" i="51"/>
  <c r="J23" i="51" s="1"/>
  <c r="J121" i="51" s="1"/>
  <c r="AA23" i="52"/>
  <c r="AG23" i="52"/>
  <c r="M23" i="52"/>
  <c r="BF23" i="52"/>
  <c r="T23" i="52"/>
  <c r="O23" i="52"/>
  <c r="Z23" i="52"/>
  <c r="AH23" i="52"/>
  <c r="BE23" i="52"/>
  <c r="H18" i="51"/>
  <c r="H23" i="51" s="1"/>
  <c r="H121" i="51" s="1"/>
  <c r="AJ23" i="52"/>
  <c r="AC23" i="52"/>
  <c r="BB23" i="52"/>
  <c r="AF23" i="52"/>
  <c r="CT87" i="52"/>
  <c r="CT88" i="52"/>
  <c r="DB87" i="52"/>
  <c r="DB88" i="52"/>
  <c r="R88" i="52"/>
  <c r="R87" i="52"/>
  <c r="J128" i="8"/>
  <c r="AC88" i="52"/>
  <c r="BN70" i="52"/>
  <c r="J33" i="63" s="1"/>
  <c r="CC87" i="52"/>
  <c r="CC88" i="52"/>
  <c r="BI88" i="52"/>
  <c r="P87" i="52"/>
  <c r="P88" i="52"/>
  <c r="G31" i="1"/>
  <c r="I20" i="8"/>
  <c r="CJ70" i="52"/>
  <c r="F62" i="5" s="1"/>
  <c r="G51" i="12"/>
  <c r="F41" i="5"/>
  <c r="AH88" i="52"/>
  <c r="CY88" i="52"/>
  <c r="CY87" i="52"/>
  <c r="C88" i="52"/>
  <c r="C87" i="52"/>
  <c r="CZ87" i="52"/>
  <c r="CZ88" i="52"/>
  <c r="AF88" i="52"/>
  <c r="BB88" i="52"/>
  <c r="BE88" i="52"/>
  <c r="CX87" i="52"/>
  <c r="CX88" i="52"/>
  <c r="S88" i="52"/>
  <c r="S87" i="52"/>
  <c r="AB88" i="52"/>
  <c r="CS87" i="52"/>
  <c r="CS88" i="52"/>
  <c r="CA88" i="52"/>
  <c r="CA87" i="52"/>
  <c r="CB87" i="52"/>
  <c r="CB88" i="52"/>
  <c r="CK88" i="52"/>
  <c r="CK87" i="52"/>
  <c r="CM88" i="52"/>
  <c r="CM87" i="52"/>
  <c r="BK88" i="52"/>
  <c r="E87" i="52"/>
  <c r="E88" i="52"/>
  <c r="K87" i="52"/>
  <c r="K88" i="52"/>
  <c r="O87" i="52"/>
  <c r="O88" i="52"/>
  <c r="D88" i="52"/>
  <c r="D87" i="52"/>
  <c r="T87" i="52"/>
  <c r="T88" i="52"/>
  <c r="AG88" i="52"/>
  <c r="AJ88" i="52"/>
  <c r="N88" i="52"/>
  <c r="J88" i="52"/>
  <c r="J87" i="52"/>
  <c r="N87" i="52"/>
  <c r="G88" i="52"/>
  <c r="M87" i="52"/>
  <c r="AA88" i="52"/>
  <c r="X88" i="52"/>
  <c r="AD88" i="52"/>
  <c r="AI88" i="52"/>
  <c r="BD88" i="52"/>
  <c r="BH88" i="52"/>
  <c r="BL88" i="52"/>
  <c r="I139" i="32" l="1"/>
  <c r="E196" i="36" s="1"/>
  <c r="F198" i="36" s="1"/>
  <c r="D89" i="2" s="1"/>
  <c r="J49" i="8"/>
  <c r="H114" i="8"/>
  <c r="G114" i="8"/>
  <c r="F114" i="8"/>
  <c r="E114" i="8"/>
  <c r="AE27" i="52"/>
  <c r="AE44" i="52"/>
  <c r="N121" i="51"/>
  <c r="I27" i="52"/>
  <c r="I44" i="52"/>
  <c r="Y27" i="52"/>
  <c r="Y44" i="52"/>
  <c r="BC27" i="52"/>
  <c r="BC44" i="52"/>
  <c r="F26" i="24"/>
  <c r="F35" i="24" s="1"/>
  <c r="F39" i="24" s="1"/>
  <c r="F43" i="24" s="1"/>
  <c r="F48" i="24" s="1"/>
  <c r="F58" i="24" s="1"/>
  <c r="F67" i="24" s="1"/>
  <c r="F73" i="24" s="1"/>
  <c r="F78" i="24" s="1"/>
  <c r="F83" i="24" s="1"/>
  <c r="F91" i="24" s="1"/>
  <c r="F19" i="24"/>
  <c r="I15" i="8"/>
  <c r="F83" i="32"/>
  <c r="F89" i="32"/>
  <c r="F91" i="32" s="1"/>
  <c r="F84" i="32"/>
  <c r="I83" i="32"/>
  <c r="E87" i="32"/>
  <c r="H41" i="5"/>
  <c r="G41" i="5"/>
  <c r="H40" i="5"/>
  <c r="D131" i="5"/>
  <c r="E131" i="5"/>
  <c r="D132" i="5"/>
  <c r="K31" i="12"/>
  <c r="DD89" i="52"/>
  <c r="F70" i="32" s="1"/>
  <c r="G82" i="5"/>
  <c r="F33" i="2" s="1"/>
  <c r="F31" i="2"/>
  <c r="E5" i="5"/>
  <c r="D5" i="2" s="1"/>
  <c r="C9" i="3"/>
  <c r="G94" i="12"/>
  <c r="L23" i="51"/>
  <c r="L121" i="51" s="1"/>
  <c r="G19" i="8"/>
  <c r="I100" i="51"/>
  <c r="I102" i="51" s="1"/>
  <c r="V100" i="51"/>
  <c r="V102" i="51" s="1"/>
  <c r="DL14" i="52"/>
  <c r="BN89" i="52"/>
  <c r="F67" i="32" s="1"/>
  <c r="M100" i="51"/>
  <c r="M102" i="51" s="1"/>
  <c r="Q101" i="51"/>
  <c r="Q102" i="51" s="1"/>
  <c r="G100" i="51"/>
  <c r="G102" i="51" s="1"/>
  <c r="I16" i="8"/>
  <c r="C100" i="51"/>
  <c r="C102" i="51" s="1"/>
  <c r="U100" i="51"/>
  <c r="U102" i="51" s="1"/>
  <c r="AD100" i="51"/>
  <c r="AD102" i="51" s="1"/>
  <c r="E100" i="51"/>
  <c r="E102" i="51" s="1"/>
  <c r="DU18" i="52"/>
  <c r="DO14" i="52"/>
  <c r="DX18" i="52"/>
  <c r="DU15" i="52"/>
  <c r="DU13" i="52"/>
  <c r="EA18" i="52"/>
  <c r="DR19" i="52"/>
  <c r="EA13" i="52"/>
  <c r="EA15" i="52"/>
  <c r="DX13" i="52"/>
  <c r="DX15" i="52"/>
  <c r="DR14" i="52"/>
  <c r="DR16" i="52"/>
  <c r="DO25" i="52"/>
  <c r="DL25" i="52"/>
  <c r="DO20" i="52"/>
  <c r="DO22" i="52"/>
  <c r="DL20" i="52"/>
  <c r="DL22" i="52"/>
  <c r="AJ35" i="51"/>
  <c r="AJ33" i="51"/>
  <c r="AJ31" i="51"/>
  <c r="G122" i="51"/>
  <c r="H70" i="12"/>
  <c r="S100" i="51"/>
  <c r="S102" i="51" s="1"/>
  <c r="AE100" i="51"/>
  <c r="AE102" i="51" s="1"/>
  <c r="D99" i="5"/>
  <c r="C49" i="2"/>
  <c r="K65" i="8"/>
  <c r="F13" i="5" s="1"/>
  <c r="F98" i="5"/>
  <c r="E49" i="2" s="1"/>
  <c r="K101" i="51"/>
  <c r="K102" i="51" s="1"/>
  <c r="H35" i="12"/>
  <c r="G36" i="8"/>
  <c r="I36" i="8" s="1"/>
  <c r="F4" i="5"/>
  <c r="E116" i="8"/>
  <c r="J116" i="8" s="1"/>
  <c r="G79" i="8"/>
  <c r="I79" i="8" s="1"/>
  <c r="F32" i="1"/>
  <c r="G35" i="8"/>
  <c r="I35" i="8" s="1"/>
  <c r="J28" i="8"/>
  <c r="C45" i="8" s="1"/>
  <c r="J72" i="8"/>
  <c r="O100" i="51"/>
  <c r="O102" i="51" s="1"/>
  <c r="H100" i="51"/>
  <c r="H102" i="51" s="1"/>
  <c r="F10" i="5"/>
  <c r="J21" i="8"/>
  <c r="F18" i="5"/>
  <c r="T100" i="51"/>
  <c r="T102" i="51" s="1"/>
  <c r="N100" i="51"/>
  <c r="N102" i="51" s="1"/>
  <c r="P100" i="51"/>
  <c r="P102" i="51" s="1"/>
  <c r="L100" i="51"/>
  <c r="L102" i="51" s="1"/>
  <c r="AC101" i="51"/>
  <c r="J100" i="51"/>
  <c r="J102" i="51" s="1"/>
  <c r="R100" i="51"/>
  <c r="R102" i="51" s="1"/>
  <c r="D67" i="5"/>
  <c r="C25" i="2"/>
  <c r="B6" i="3"/>
  <c r="E99" i="5"/>
  <c r="D49" i="2"/>
  <c r="F152" i="32"/>
  <c r="I101" i="12"/>
  <c r="H94" i="12"/>
  <c r="G70" i="12"/>
  <c r="D113" i="20"/>
  <c r="G80" i="8"/>
  <c r="G70" i="8"/>
  <c r="G98" i="5"/>
  <c r="F49" i="2" s="1"/>
  <c r="F43" i="2"/>
  <c r="G35" i="12"/>
  <c r="I31" i="12"/>
  <c r="I35" i="12" s="1"/>
  <c r="F15" i="5" s="1"/>
  <c r="G4" i="5"/>
  <c r="G32" i="1"/>
  <c r="J91" i="8"/>
  <c r="G97" i="8"/>
  <c r="I97" i="8" s="1"/>
  <c r="I66" i="12"/>
  <c r="I70" i="12" s="1"/>
  <c r="F16" i="5" s="1"/>
  <c r="H16" i="5" s="1"/>
  <c r="BA89" i="52"/>
  <c r="F66" i="32" s="1"/>
  <c r="CJ89" i="52"/>
  <c r="I93" i="12"/>
  <c r="I94" i="12" s="1"/>
  <c r="F17" i="5" s="1"/>
  <c r="W89" i="52"/>
  <c r="E59" i="5"/>
  <c r="D20" i="2" s="1"/>
  <c r="F36" i="5"/>
  <c r="H36" i="5" s="1"/>
  <c r="CW89" i="52"/>
  <c r="E113" i="36"/>
  <c r="F38" i="5"/>
  <c r="H38" i="5" s="1"/>
  <c r="D74" i="2"/>
  <c r="H18" i="5" l="1"/>
  <c r="G18" i="5"/>
  <c r="J112" i="8"/>
  <c r="G15" i="5"/>
  <c r="AJ19" i="51"/>
  <c r="BC96" i="52"/>
  <c r="I96" i="52"/>
  <c r="Y97" i="52"/>
  <c r="AE96" i="52"/>
  <c r="H101" i="5"/>
  <c r="E70" i="32"/>
  <c r="I70" i="32" s="1"/>
  <c r="F87" i="32"/>
  <c r="J16" i="8"/>
  <c r="K24" i="8" s="1"/>
  <c r="G83" i="8"/>
  <c r="G98" i="8" s="1"/>
  <c r="I98" i="8" s="1"/>
  <c r="J98" i="8" s="1"/>
  <c r="E69" i="32"/>
  <c r="I69" i="32" s="1"/>
  <c r="F69" i="32"/>
  <c r="E65" i="32"/>
  <c r="I65" i="32" s="1"/>
  <c r="F65" i="32"/>
  <c r="E68" i="32"/>
  <c r="I68" i="32" s="1"/>
  <c r="F68" i="32"/>
  <c r="E9" i="3"/>
  <c r="I100" i="12"/>
  <c r="I111" i="12" s="1"/>
  <c r="G21" i="5" s="1"/>
  <c r="H111" i="12"/>
  <c r="F21" i="5" s="1"/>
  <c r="J34" i="63"/>
  <c r="K70" i="8"/>
  <c r="J36" i="8"/>
  <c r="AF101" i="51"/>
  <c r="D106" i="5"/>
  <c r="C56" i="2" s="1"/>
  <c r="C50" i="2"/>
  <c r="H76" i="5"/>
  <c r="H80" i="5"/>
  <c r="H100" i="5"/>
  <c r="H71" i="5"/>
  <c r="F5" i="5"/>
  <c r="E5" i="2" s="1"/>
  <c r="H47" i="5"/>
  <c r="H57" i="5"/>
  <c r="H95" i="5"/>
  <c r="H52" i="5"/>
  <c r="H90" i="5"/>
  <c r="H98" i="5"/>
  <c r="H97" i="5"/>
  <c r="H104" i="5"/>
  <c r="H89" i="5"/>
  <c r="H5" i="5"/>
  <c r="I80" i="8"/>
  <c r="J80" i="8" s="1"/>
  <c r="H88" i="5"/>
  <c r="H50" i="5"/>
  <c r="H96" i="5"/>
  <c r="H62" i="5"/>
  <c r="H51" i="5"/>
  <c r="H58" i="5"/>
  <c r="H94" i="5"/>
  <c r="H81" i="5"/>
  <c r="H93" i="5"/>
  <c r="H56" i="5"/>
  <c r="D76" i="8"/>
  <c r="I83" i="8" s="1"/>
  <c r="J85" i="8" s="1"/>
  <c r="C108" i="8"/>
  <c r="H13" i="5"/>
  <c r="H49" i="5"/>
  <c r="H72" i="5"/>
  <c r="H91" i="5"/>
  <c r="H75" i="5"/>
  <c r="H87" i="5"/>
  <c r="H92" i="5"/>
  <c r="H86" i="5"/>
  <c r="H82" i="5"/>
  <c r="H48" i="5"/>
  <c r="D9" i="3"/>
  <c r="H64" i="5"/>
  <c r="H15" i="5"/>
  <c r="H73" i="5"/>
  <c r="H70" i="5"/>
  <c r="I89" i="32"/>
  <c r="G39" i="8"/>
  <c r="I39" i="8" s="1"/>
  <c r="J41" i="8" s="1"/>
  <c r="D32" i="8"/>
  <c r="H115" i="12"/>
  <c r="I115" i="12"/>
  <c r="I151" i="12" s="1"/>
  <c r="F25" i="5"/>
  <c r="AF100" i="51"/>
  <c r="AC102" i="51"/>
  <c r="D79" i="5"/>
  <c r="D83" i="5" s="1"/>
  <c r="C26" i="2"/>
  <c r="C30" i="2" s="1"/>
  <c r="C34" i="2" s="1"/>
  <c r="B7" i="3"/>
  <c r="E106" i="5"/>
  <c r="D56" i="2" s="1"/>
  <c r="D50" i="2"/>
  <c r="E65" i="5"/>
  <c r="D22" i="2"/>
  <c r="D24" i="2" s="1"/>
  <c r="E53" i="5"/>
  <c r="D16" i="2"/>
  <c r="D18" i="2" s="1"/>
  <c r="E9" i="2"/>
  <c r="G101" i="8"/>
  <c r="I101" i="8" s="1"/>
  <c r="J103" i="8" s="1"/>
  <c r="D94" i="8"/>
  <c r="G5" i="5"/>
  <c r="F5" i="2" s="1"/>
  <c r="E66" i="32"/>
  <c r="D73" i="2"/>
  <c r="E67" i="32"/>
  <c r="I67" i="32" s="1"/>
  <c r="H25" i="5" l="1"/>
  <c r="G25" i="5"/>
  <c r="Y51" i="52"/>
  <c r="Y110" i="52" s="1"/>
  <c r="I66" i="32"/>
  <c r="E112" i="36"/>
  <c r="E13" i="2"/>
  <c r="G39" i="5"/>
  <c r="F13" i="2" s="1"/>
  <c r="H39" i="5"/>
  <c r="F77" i="5"/>
  <c r="H77" i="5" s="1"/>
  <c r="G74" i="5"/>
  <c r="H21" i="5"/>
  <c r="F9" i="2"/>
  <c r="K129" i="8"/>
  <c r="G13" i="5" s="1"/>
  <c r="K44" i="8"/>
  <c r="K45" i="8" s="1"/>
  <c r="F45" i="8" s="1"/>
  <c r="V113" i="51"/>
  <c r="AC22" i="51"/>
  <c r="Z112" i="51"/>
  <c r="Z113" i="51"/>
  <c r="H74" i="5"/>
  <c r="CC26" i="52"/>
  <c r="CH26" i="52"/>
  <c r="CS26" i="52"/>
  <c r="CU26" i="52"/>
  <c r="U26" i="52"/>
  <c r="Q26" i="52"/>
  <c r="BL26" i="52"/>
  <c r="CT26" i="52"/>
  <c r="R26" i="52"/>
  <c r="P26" i="52"/>
  <c r="DB26" i="52"/>
  <c r="DA26" i="52"/>
  <c r="V112" i="51"/>
  <c r="AF102" i="51"/>
  <c r="K87" i="8"/>
  <c r="Y112" i="51"/>
  <c r="Y113" i="51"/>
  <c r="H151" i="12"/>
  <c r="F28" i="5" s="1"/>
  <c r="R112" i="51"/>
  <c r="R113" i="51"/>
  <c r="S113" i="51"/>
  <c r="S112" i="51"/>
  <c r="P113" i="51"/>
  <c r="P112" i="51"/>
  <c r="Q112" i="51"/>
  <c r="Q113" i="51"/>
  <c r="K106" i="8"/>
  <c r="D17" i="2"/>
  <c r="D23" i="2"/>
  <c r="AC24" i="51" l="1"/>
  <c r="AC124" i="51"/>
  <c r="Y81" i="52"/>
  <c r="I83" i="52"/>
  <c r="BL44" i="52"/>
  <c r="Q44" i="52"/>
  <c r="P44" i="52"/>
  <c r="U44" i="52"/>
  <c r="R44" i="52"/>
  <c r="CS44" i="52"/>
  <c r="CH44" i="52"/>
  <c r="CC44" i="52"/>
  <c r="DA44" i="52"/>
  <c r="DB44" i="52"/>
  <c r="CT44" i="52"/>
  <c r="CU44" i="52"/>
  <c r="E64" i="32"/>
  <c r="E71" i="32" s="1"/>
  <c r="F123" i="32" s="1"/>
  <c r="F63" i="5" s="1"/>
  <c r="E28" i="2"/>
  <c r="E29" i="2" s="1"/>
  <c r="F78" i="5"/>
  <c r="H78" i="5" s="1"/>
  <c r="G28" i="5"/>
  <c r="F12" i="5"/>
  <c r="H12" i="5" s="1"/>
  <c r="K108" i="8"/>
  <c r="G12" i="5" s="1"/>
  <c r="U27" i="52"/>
  <c r="BL27" i="52"/>
  <c r="CT27" i="52"/>
  <c r="R27" i="52"/>
  <c r="CS27" i="52"/>
  <c r="P27" i="52"/>
  <c r="Q27" i="52"/>
  <c r="CU27" i="52"/>
  <c r="CH27" i="52"/>
  <c r="CC27" i="52"/>
  <c r="DA27" i="52"/>
  <c r="DB27" i="52"/>
  <c r="AC48" i="51" l="1"/>
  <c r="I64" i="32"/>
  <c r="I122" i="32" s="1"/>
  <c r="E191" i="36" s="1"/>
  <c r="F192" i="36" s="1"/>
  <c r="D85" i="2" s="1"/>
  <c r="E10" i="2"/>
  <c r="F10" i="2"/>
  <c r="H28" i="5"/>
  <c r="F108" i="8"/>
  <c r="E7" i="2"/>
  <c r="E11" i="2" s="1"/>
  <c r="F29" i="5"/>
  <c r="H29" i="5" s="1"/>
  <c r="CT96" i="52"/>
  <c r="DB96" i="52"/>
  <c r="P96" i="52"/>
  <c r="CH96" i="52"/>
  <c r="CC96" i="52"/>
  <c r="Q96" i="52"/>
  <c r="CS96" i="52"/>
  <c r="DA96" i="52"/>
  <c r="CU96" i="52"/>
  <c r="R96" i="52"/>
  <c r="BL96" i="52"/>
  <c r="U96" i="52"/>
  <c r="AI154" i="51"/>
  <c r="AH150" i="51"/>
  <c r="AH156" i="51"/>
  <c r="AI160" i="51"/>
  <c r="F7" i="2"/>
  <c r="F11" i="2" s="1"/>
  <c r="H63" i="5" l="1"/>
  <c r="G29" i="5"/>
  <c r="E5" i="3" s="1"/>
  <c r="D5" i="3"/>
  <c r="CS68" i="52"/>
  <c r="D72" i="2"/>
  <c r="E76" i="2" s="1"/>
  <c r="F91" i="2" s="1"/>
  <c r="F93" i="2" s="1"/>
  <c r="DD84" i="52" l="1"/>
  <c r="DD85" i="52"/>
  <c r="E118" i="5" s="1"/>
  <c r="E43" i="5" l="1"/>
  <c r="D12" i="2" l="1"/>
  <c r="D15" i="2" s="1"/>
  <c r="E66" i="5"/>
  <c r="E67" i="5" l="1"/>
  <c r="D25" i="2"/>
  <c r="C6" i="3"/>
  <c r="D26" i="2" l="1"/>
  <c r="D30" i="2" s="1"/>
  <c r="D34" i="2" s="1"/>
  <c r="C7" i="3"/>
  <c r="E79" i="5"/>
  <c r="E83" i="5" s="1"/>
  <c r="C22" i="52" l="1"/>
  <c r="C29" i="52" l="1"/>
  <c r="C30" i="52"/>
  <c r="C102" i="52"/>
  <c r="D22" i="52"/>
  <c r="C17" i="51"/>
  <c r="C103" i="52"/>
  <c r="C99" i="52"/>
  <c r="C101" i="52"/>
  <c r="C26" i="52"/>
  <c r="C43" i="52" s="1"/>
  <c r="F17" i="51" l="1"/>
  <c r="F24" i="51" s="1"/>
  <c r="F118" i="51" s="1"/>
  <c r="C38" i="51"/>
  <c r="AR22" i="52"/>
  <c r="AR26" i="52" s="1"/>
  <c r="AS22" i="52"/>
  <c r="AT22" i="52"/>
  <c r="AU22" i="52"/>
  <c r="AV22" i="52"/>
  <c r="AW22" i="52"/>
  <c r="AW43" i="52" s="1"/>
  <c r="AX22" i="52"/>
  <c r="AX43" i="52" s="1"/>
  <c r="AX46" i="52" s="1"/>
  <c r="AX107" i="52" s="1"/>
  <c r="AY22" i="52"/>
  <c r="AY43" i="52" s="1"/>
  <c r="AY46" i="52" s="1"/>
  <c r="AY107" i="52" s="1"/>
  <c r="Y22" i="52"/>
  <c r="F22" i="52"/>
  <c r="AE22" i="52"/>
  <c r="BC22" i="52"/>
  <c r="CF22" i="52"/>
  <c r="AM22" i="52"/>
  <c r="I22" i="52"/>
  <c r="AK22" i="52"/>
  <c r="AQ22" i="52"/>
  <c r="AL22" i="52"/>
  <c r="AP22" i="52"/>
  <c r="CE22" i="52"/>
  <c r="AO22" i="52"/>
  <c r="CD22" i="52"/>
  <c r="CG22" i="52"/>
  <c r="AN22" i="52"/>
  <c r="C38" i="52"/>
  <c r="C44" i="52"/>
  <c r="D29" i="52"/>
  <c r="C112" i="52"/>
  <c r="C100" i="52"/>
  <c r="D30" i="52"/>
  <c r="BW22" i="52"/>
  <c r="BO22" i="52"/>
  <c r="BV22" i="52"/>
  <c r="BU22" i="52"/>
  <c r="BT22" i="52"/>
  <c r="BS22" i="52"/>
  <c r="BZ22" i="52"/>
  <c r="BR22" i="52"/>
  <c r="BY22" i="52"/>
  <c r="BQ22" i="52"/>
  <c r="BX22" i="52"/>
  <c r="BP22" i="52"/>
  <c r="C51" i="51"/>
  <c r="AB17" i="51"/>
  <c r="AB37" i="51" s="1"/>
  <c r="CL22" i="52"/>
  <c r="CR22" i="52"/>
  <c r="CR38" i="52" s="1"/>
  <c r="CN22" i="52"/>
  <c r="CN38" i="52" s="1"/>
  <c r="CP22" i="52"/>
  <c r="CP38" i="52" s="1"/>
  <c r="H22" i="52"/>
  <c r="L22" i="52"/>
  <c r="C24" i="51"/>
  <c r="C69" i="51" s="1"/>
  <c r="W17" i="51"/>
  <c r="W37" i="51" s="1"/>
  <c r="C27" i="52"/>
  <c r="C135" i="51"/>
  <c r="CW22" i="52"/>
  <c r="CW102" i="52" s="1"/>
  <c r="CJ22" i="52"/>
  <c r="CJ102" i="52" s="1"/>
  <c r="BN22" i="52"/>
  <c r="BN102" i="52" s="1"/>
  <c r="K22" i="52"/>
  <c r="AJ22" i="52"/>
  <c r="N17" i="51"/>
  <c r="AZ22" i="52"/>
  <c r="AZ102" i="52" s="1"/>
  <c r="N22" i="52"/>
  <c r="E22" i="52"/>
  <c r="CU22" i="52"/>
  <c r="CX22" i="52"/>
  <c r="CX28" i="52" s="1"/>
  <c r="BM22" i="52"/>
  <c r="BM102" i="52" s="1"/>
  <c r="DD22" i="52"/>
  <c r="DD102" i="52" s="1"/>
  <c r="BE22" i="52"/>
  <c r="U22" i="52"/>
  <c r="CH22" i="52"/>
  <c r="CH43" i="52" s="1"/>
  <c r="AI22" i="52"/>
  <c r="O22" i="52"/>
  <c r="DC22" i="52"/>
  <c r="DC102" i="52" s="1"/>
  <c r="V22" i="52"/>
  <c r="V102" i="52" s="1"/>
  <c r="AH22" i="52"/>
  <c r="DB22" i="52"/>
  <c r="DB43" i="52" s="1"/>
  <c r="AG22" i="52"/>
  <c r="X22" i="52"/>
  <c r="BL22" i="52"/>
  <c r="BL43" i="52" s="1"/>
  <c r="AD17" i="51"/>
  <c r="M22" i="52"/>
  <c r="CM22" i="52"/>
  <c r="BK22" i="52"/>
  <c r="AC22" i="52"/>
  <c r="BI22" i="52"/>
  <c r="CI22" i="52"/>
  <c r="CI102" i="52" s="1"/>
  <c r="BB22" i="52"/>
  <c r="C146" i="51"/>
  <c r="BF22" i="52"/>
  <c r="CB22" i="52"/>
  <c r="CB102" i="52" s="1"/>
  <c r="BH22" i="52"/>
  <c r="G17" i="51"/>
  <c r="G177" i="51" s="1"/>
  <c r="BD22" i="52"/>
  <c r="BJ22" i="52"/>
  <c r="J17" i="51"/>
  <c r="J37" i="51" s="1"/>
  <c r="E17" i="51"/>
  <c r="O17" i="51"/>
  <c r="AE17" i="51"/>
  <c r="R22" i="52"/>
  <c r="I17" i="51"/>
  <c r="I37" i="51" s="1"/>
  <c r="AD22" i="52"/>
  <c r="CO22" i="52"/>
  <c r="CO38" i="52" s="1"/>
  <c r="CS22" i="52"/>
  <c r="CT22" i="52"/>
  <c r="Q17" i="51"/>
  <c r="Q37" i="51" s="1"/>
  <c r="K17" i="51"/>
  <c r="K37" i="51" s="1"/>
  <c r="BG22" i="52"/>
  <c r="CY22" i="52"/>
  <c r="CY28" i="52" s="1"/>
  <c r="S22" i="52"/>
  <c r="M17" i="51"/>
  <c r="M37" i="51" s="1"/>
  <c r="P22" i="52"/>
  <c r="CC22" i="52"/>
  <c r="CC43" i="52" s="1"/>
  <c r="AA22" i="52"/>
  <c r="AF22" i="52"/>
  <c r="Z22" i="52"/>
  <c r="Z29" i="52" s="1"/>
  <c r="Z112" i="52" s="1"/>
  <c r="DA22" i="52"/>
  <c r="DA43" i="52" s="1"/>
  <c r="Q22" i="52"/>
  <c r="AC17" i="51"/>
  <c r="AC37" i="51" s="1"/>
  <c r="AA17" i="51"/>
  <c r="AA37" i="51" s="1"/>
  <c r="X17" i="51"/>
  <c r="X37" i="51" s="1"/>
  <c r="U17" i="51"/>
  <c r="U37" i="51" s="1"/>
  <c r="V17" i="51"/>
  <c r="V37" i="51" s="1"/>
  <c r="J22" i="52"/>
  <c r="CZ22" i="52"/>
  <c r="CZ28" i="52" s="1"/>
  <c r="AB22" i="52"/>
  <c r="BA22" i="52"/>
  <c r="BA102" i="52" s="1"/>
  <c r="CV22" i="52"/>
  <c r="CV102" i="52" s="1"/>
  <c r="R17" i="51"/>
  <c r="R37" i="51" s="1"/>
  <c r="L17" i="51"/>
  <c r="L37" i="51" s="1"/>
  <c r="CA22" i="52"/>
  <c r="CA102" i="52" s="1"/>
  <c r="Z17" i="51"/>
  <c r="Z37" i="51" s="1"/>
  <c r="CK22" i="52"/>
  <c r="CK28" i="52" s="1"/>
  <c r="P17" i="51"/>
  <c r="P37" i="51" s="1"/>
  <c r="T17" i="51"/>
  <c r="T37" i="51" s="1"/>
  <c r="S17" i="51"/>
  <c r="S37" i="51" s="1"/>
  <c r="H17" i="51"/>
  <c r="H37" i="51" s="1"/>
  <c r="CQ22" i="52"/>
  <c r="Y17" i="51"/>
  <c r="Y37" i="51" s="1"/>
  <c r="W22" i="52"/>
  <c r="W102" i="52" s="1"/>
  <c r="T22" i="52"/>
  <c r="G22" i="52"/>
  <c r="D26" i="52"/>
  <c r="D43" i="52" s="1"/>
  <c r="D99" i="52"/>
  <c r="D102" i="52"/>
  <c r="DL11" i="52" s="1"/>
  <c r="D103" i="52"/>
  <c r="DL13" i="52" s="1"/>
  <c r="D101" i="52"/>
  <c r="DL10" i="52" s="1"/>
  <c r="AW46" i="52" l="1"/>
  <c r="AV28" i="52"/>
  <c r="AV99" i="52" s="1"/>
  <c r="AV26" i="52"/>
  <c r="AN28" i="52"/>
  <c r="AN99" i="52" s="1"/>
  <c r="AN26" i="52"/>
  <c r="AN43" i="52" s="1"/>
  <c r="AR27" i="52"/>
  <c r="AR96" i="52" s="1"/>
  <c r="N51" i="51"/>
  <c r="N52" i="51" s="1"/>
  <c r="N113" i="51"/>
  <c r="G37" i="51"/>
  <c r="G36" i="51"/>
  <c r="N112" i="51"/>
  <c r="N37" i="51"/>
  <c r="N131" i="51" s="1"/>
  <c r="O179" i="51"/>
  <c r="O37" i="51"/>
  <c r="O131" i="51" s="1"/>
  <c r="CL28" i="52"/>
  <c r="CL38" i="52" s="1"/>
  <c r="CM28" i="52"/>
  <c r="CM38" i="52" s="1"/>
  <c r="CQ102" i="52"/>
  <c r="CQ38" i="52"/>
  <c r="CT43" i="52"/>
  <c r="CT38" i="52"/>
  <c r="CT42" i="52" s="1"/>
  <c r="CU43" i="52"/>
  <c r="CU38" i="52"/>
  <c r="CS43" i="52"/>
  <c r="CS38" i="52"/>
  <c r="G28" i="52"/>
  <c r="F28" i="52"/>
  <c r="F26" i="52"/>
  <c r="F27" i="52" s="1"/>
  <c r="F96" i="52" s="1"/>
  <c r="BX28" i="52"/>
  <c r="BX29" i="52"/>
  <c r="BX112" i="52" s="1"/>
  <c r="BV28" i="52"/>
  <c r="BV99" i="52" s="1"/>
  <c r="BV26" i="52"/>
  <c r="E29" i="52"/>
  <c r="E28" i="52"/>
  <c r="BW28" i="52"/>
  <c r="BW99" i="52" s="1"/>
  <c r="BW26" i="52"/>
  <c r="Q43" i="52"/>
  <c r="U43" i="52"/>
  <c r="BS43" i="52"/>
  <c r="R43" i="52"/>
  <c r="BT43" i="52"/>
  <c r="BU43" i="52"/>
  <c r="P43" i="52"/>
  <c r="CD38" i="52"/>
  <c r="CD42" i="52" s="1"/>
  <c r="CD43" i="52"/>
  <c r="CD46" i="52" s="1"/>
  <c r="CD103" i="52"/>
  <c r="CD101" i="52"/>
  <c r="CD102" i="52"/>
  <c r="AM102" i="52"/>
  <c r="AM43" i="52"/>
  <c r="AM46" i="52" s="1"/>
  <c r="AM101" i="52"/>
  <c r="AM103" i="52"/>
  <c r="AM38" i="52"/>
  <c r="AM42" i="52" s="1"/>
  <c r="AW101" i="52"/>
  <c r="AW102" i="52"/>
  <c r="AW38" i="52"/>
  <c r="AW42" i="52" s="1"/>
  <c r="AW45" i="52" s="1"/>
  <c r="AW75" i="52"/>
  <c r="AW103" i="52"/>
  <c r="AO103" i="52"/>
  <c r="AO102" i="52"/>
  <c r="AO43" i="52"/>
  <c r="AO46" i="52" s="1"/>
  <c r="AO101" i="52"/>
  <c r="AO38" i="52"/>
  <c r="AO42" i="52" s="1"/>
  <c r="CF38" i="52"/>
  <c r="CF42" i="52" s="1"/>
  <c r="CF103" i="52"/>
  <c r="CF102" i="52"/>
  <c r="CF43" i="52"/>
  <c r="CF46" i="52" s="1"/>
  <c r="CF101" i="52"/>
  <c r="AV101" i="52"/>
  <c r="AV103" i="52"/>
  <c r="AV102" i="52"/>
  <c r="CE38" i="52"/>
  <c r="CE42" i="52" s="1"/>
  <c r="CE43" i="52"/>
  <c r="CE46" i="52" s="1"/>
  <c r="CE101" i="52"/>
  <c r="CE103" i="52"/>
  <c r="CE102" i="52"/>
  <c r="BC103" i="52"/>
  <c r="BC101" i="52"/>
  <c r="BC102" i="52"/>
  <c r="BC43" i="52"/>
  <c r="BC46" i="52" s="1"/>
  <c r="AU103" i="52"/>
  <c r="AU102" i="52"/>
  <c r="AU38" i="52"/>
  <c r="AU42" i="52" s="1"/>
  <c r="AU75" i="52"/>
  <c r="AU101" i="52"/>
  <c r="AP101" i="52"/>
  <c r="AP102" i="52"/>
  <c r="AP103" i="52"/>
  <c r="AP43" i="52"/>
  <c r="AP46" i="52" s="1"/>
  <c r="AP38" i="52"/>
  <c r="AP42" i="52" s="1"/>
  <c r="AE102" i="52"/>
  <c r="AE103" i="52"/>
  <c r="AE101" i="52"/>
  <c r="AE38" i="52"/>
  <c r="AE42" i="52" s="1"/>
  <c r="AE51" i="52" s="1"/>
  <c r="AE110" i="52" s="1"/>
  <c r="AE43" i="52"/>
  <c r="AE46" i="52" s="1"/>
  <c r="AT38" i="52"/>
  <c r="AT42" i="52" s="1"/>
  <c r="AT75" i="52"/>
  <c r="AT101" i="52"/>
  <c r="AT102" i="52"/>
  <c r="AT103" i="52"/>
  <c r="AL43" i="52"/>
  <c r="AL46" i="52" s="1"/>
  <c r="AL101" i="52"/>
  <c r="AL102" i="52"/>
  <c r="AL103" i="52"/>
  <c r="AL38" i="52"/>
  <c r="AL42" i="52" s="1"/>
  <c r="F102" i="52"/>
  <c r="F101" i="52"/>
  <c r="F103" i="52"/>
  <c r="AS103" i="52"/>
  <c r="AS75" i="52"/>
  <c r="AS101" i="52"/>
  <c r="AS102" i="52"/>
  <c r="AS38" i="52"/>
  <c r="AS42" i="52" s="1"/>
  <c r="AQ43" i="52"/>
  <c r="AQ46" i="52" s="1"/>
  <c r="AQ101" i="52"/>
  <c r="AQ102" i="52"/>
  <c r="AQ103" i="52"/>
  <c r="AQ38" i="52"/>
  <c r="AQ42" i="52" s="1"/>
  <c r="Y103" i="52"/>
  <c r="Y102" i="52"/>
  <c r="Y101" i="52"/>
  <c r="Y38" i="52"/>
  <c r="Y42" i="52" s="1"/>
  <c r="Y43" i="52"/>
  <c r="Y46" i="52" s="1"/>
  <c r="AR38" i="52"/>
  <c r="AR75" i="52"/>
  <c r="AR102" i="52"/>
  <c r="AR103" i="52"/>
  <c r="AR101" i="52"/>
  <c r="AN102" i="52"/>
  <c r="AN101" i="52"/>
  <c r="AN103" i="52"/>
  <c r="AK43" i="52"/>
  <c r="AK46" i="52" s="1"/>
  <c r="AK101" i="52"/>
  <c r="AK103" i="52"/>
  <c r="AK102" i="52"/>
  <c r="AK38" i="52"/>
  <c r="AK42" i="52" s="1"/>
  <c r="AY103" i="52"/>
  <c r="AY102" i="52"/>
  <c r="AY101" i="52"/>
  <c r="AY75" i="52"/>
  <c r="AY38" i="52"/>
  <c r="AY42" i="52" s="1"/>
  <c r="AY45" i="52" s="1"/>
  <c r="AY48" i="52" s="1"/>
  <c r="CG38" i="52"/>
  <c r="CG42" i="52" s="1"/>
  <c r="CG43" i="52"/>
  <c r="CG46" i="52" s="1"/>
  <c r="CG103" i="52"/>
  <c r="CG102" i="52"/>
  <c r="CG101" i="52"/>
  <c r="I102" i="52"/>
  <c r="I101" i="52"/>
  <c r="I103" i="52"/>
  <c r="I38" i="52"/>
  <c r="I42" i="52" s="1"/>
  <c r="I43" i="52"/>
  <c r="I46" i="52" s="1"/>
  <c r="AX103" i="52"/>
  <c r="AX101" i="52"/>
  <c r="AX102" i="52"/>
  <c r="AX38" i="52"/>
  <c r="AX42" i="52" s="1"/>
  <c r="AX45" i="52" s="1"/>
  <c r="AX48" i="52" s="1"/>
  <c r="AX75" i="52"/>
  <c r="F146" i="51"/>
  <c r="F38" i="51"/>
  <c r="F45" i="51" s="1"/>
  <c r="F64" i="51" s="1"/>
  <c r="F159" i="51" s="1"/>
  <c r="F141" i="51"/>
  <c r="F138" i="51"/>
  <c r="F135" i="51"/>
  <c r="F46" i="51"/>
  <c r="F48" i="51" s="1"/>
  <c r="F53" i="51" s="1"/>
  <c r="F153" i="51" s="1"/>
  <c r="BR38" i="52"/>
  <c r="BP38" i="52"/>
  <c r="BQ38" i="52"/>
  <c r="S38" i="52"/>
  <c r="N112" i="52"/>
  <c r="AD112" i="52"/>
  <c r="O112" i="52"/>
  <c r="T38" i="52"/>
  <c r="K112" i="52"/>
  <c r="M112" i="52"/>
  <c r="L112" i="52"/>
  <c r="L178" i="51"/>
  <c r="K178" i="51"/>
  <c r="J131" i="51"/>
  <c r="J176" i="51"/>
  <c r="BO112" i="52"/>
  <c r="BJ26" i="52"/>
  <c r="BJ43" i="52" s="1"/>
  <c r="AI26" i="52"/>
  <c r="AI43" i="52" s="1"/>
  <c r="CZ26" i="52"/>
  <c r="BD112" i="52"/>
  <c r="BD26" i="52"/>
  <c r="BD43" i="52" s="1"/>
  <c r="BI26" i="52"/>
  <c r="BI43" i="52" s="1"/>
  <c r="CY102" i="52"/>
  <c r="CY99" i="52"/>
  <c r="AC112" i="52"/>
  <c r="BE112" i="52"/>
  <c r="BE26" i="52"/>
  <c r="BE43" i="52" s="1"/>
  <c r="BG26" i="52"/>
  <c r="BG43" i="52" s="1"/>
  <c r="BH26" i="52"/>
  <c r="BH43" i="52" s="1"/>
  <c r="BK26" i="52"/>
  <c r="BK43" i="52" s="1"/>
  <c r="AH26" i="52"/>
  <c r="AH43" i="52" s="1"/>
  <c r="AJ26" i="52"/>
  <c r="AJ43" i="52" s="1"/>
  <c r="BB112" i="52"/>
  <c r="BF26" i="52"/>
  <c r="BF43" i="52" s="1"/>
  <c r="CX102" i="52"/>
  <c r="D38" i="52"/>
  <c r="AF102" i="52"/>
  <c r="R38" i="52"/>
  <c r="R42" i="52" s="1"/>
  <c r="R51" i="52" s="1"/>
  <c r="R110" i="52" s="1"/>
  <c r="BS38" i="52"/>
  <c r="BS42" i="52" s="1"/>
  <c r="AA102" i="52"/>
  <c r="K102" i="52"/>
  <c r="BT38" i="52"/>
  <c r="BT42" i="52" s="1"/>
  <c r="M102" i="52"/>
  <c r="L102" i="52"/>
  <c r="BU38" i="52"/>
  <c r="BU42" i="52" s="1"/>
  <c r="P38" i="52"/>
  <c r="P42" i="52" s="1"/>
  <c r="P51" i="52" s="1"/>
  <c r="P110" i="52" s="1"/>
  <c r="O26" i="52"/>
  <c r="O43" i="52" s="1"/>
  <c r="H102" i="52"/>
  <c r="BV38" i="52"/>
  <c r="D112" i="52"/>
  <c r="BB102" i="52"/>
  <c r="BL38" i="52"/>
  <c r="BL42" i="52" s="1"/>
  <c r="BL46" i="52"/>
  <c r="BL107" i="52" s="1"/>
  <c r="AB102" i="52"/>
  <c r="Q38" i="52"/>
  <c r="Q42" i="52" s="1"/>
  <c r="Q51" i="52" s="1"/>
  <c r="Q110" i="52" s="1"/>
  <c r="X30" i="52"/>
  <c r="X29" i="52"/>
  <c r="N26" i="52"/>
  <c r="N43" i="52" s="1"/>
  <c r="D44" i="52"/>
  <c r="AD102" i="52"/>
  <c r="AG102" i="52"/>
  <c r="U38" i="52"/>
  <c r="U42" i="52" s="1"/>
  <c r="U51" i="52" s="1"/>
  <c r="U110" i="52" s="1"/>
  <c r="CK102" i="52"/>
  <c r="J102" i="52"/>
  <c r="Z102" i="52"/>
  <c r="AC102" i="52"/>
  <c r="CL102" i="52"/>
  <c r="G102" i="52"/>
  <c r="E102" i="52"/>
  <c r="I176" i="51"/>
  <c r="H51" i="51"/>
  <c r="H52" i="51" s="1"/>
  <c r="H131" i="51"/>
  <c r="G51" i="51"/>
  <c r="D88" i="51"/>
  <c r="D87" i="51"/>
  <c r="D90" i="51" s="1"/>
  <c r="D58" i="52"/>
  <c r="C42" i="52"/>
  <c r="C106" i="52"/>
  <c r="C46" i="51"/>
  <c r="D100" i="52"/>
  <c r="DL9" i="52" s="1"/>
  <c r="AB131" i="51"/>
  <c r="C45" i="51"/>
  <c r="S99" i="52"/>
  <c r="S26" i="52"/>
  <c r="S43" i="52" s="1"/>
  <c r="T99" i="52"/>
  <c r="T26" i="52"/>
  <c r="T43" i="52" s="1"/>
  <c r="AB111" i="51"/>
  <c r="AB115" i="51" s="1"/>
  <c r="AB135" i="51"/>
  <c r="AB144" i="51"/>
  <c r="I179" i="51"/>
  <c r="AD164" i="51"/>
  <c r="AC107" i="51"/>
  <c r="J179" i="51"/>
  <c r="AB164" i="51"/>
  <c r="AB35" i="51"/>
  <c r="AB36" i="51"/>
  <c r="AB129" i="51" s="1"/>
  <c r="AB146" i="51"/>
  <c r="AB141" i="51"/>
  <c r="AB138" i="51"/>
  <c r="BL102" i="52"/>
  <c r="AI102" i="52"/>
  <c r="CP102" i="52"/>
  <c r="BZ102" i="52"/>
  <c r="BZ103" i="52"/>
  <c r="BZ26" i="52"/>
  <c r="BZ101" i="52"/>
  <c r="Q102" i="52"/>
  <c r="S102" i="52"/>
  <c r="CO102" i="52"/>
  <c r="BJ102" i="52"/>
  <c r="X102" i="52"/>
  <c r="CH102" i="52"/>
  <c r="N102" i="52"/>
  <c r="CN102" i="52"/>
  <c r="BS102" i="52"/>
  <c r="BS101" i="52"/>
  <c r="BS103" i="52"/>
  <c r="BT102" i="52"/>
  <c r="BT101" i="52"/>
  <c r="BT103" i="52"/>
  <c r="CS102" i="52"/>
  <c r="T102" i="52"/>
  <c r="CZ102" i="52"/>
  <c r="DA102" i="52"/>
  <c r="BD102" i="52"/>
  <c r="BI102" i="52"/>
  <c r="U102" i="52"/>
  <c r="CR102" i="52"/>
  <c r="BP102" i="52"/>
  <c r="BP99" i="52"/>
  <c r="BP101" i="52"/>
  <c r="BP103" i="52"/>
  <c r="BP26" i="52"/>
  <c r="BP43" i="52" s="1"/>
  <c r="BU102" i="52"/>
  <c r="BU101" i="52"/>
  <c r="BU103" i="52"/>
  <c r="P102" i="52"/>
  <c r="CT102" i="52"/>
  <c r="O102" i="52"/>
  <c r="BR102" i="52"/>
  <c r="BR101" i="52"/>
  <c r="BR103" i="52"/>
  <c r="BR99" i="52"/>
  <c r="BR26" i="52"/>
  <c r="BR43" i="52" s="1"/>
  <c r="C52" i="51"/>
  <c r="DB102" i="52"/>
  <c r="BE102" i="52"/>
  <c r="BG102" i="52"/>
  <c r="R102" i="52"/>
  <c r="BH102" i="52"/>
  <c r="BK102" i="52"/>
  <c r="AH102" i="52"/>
  <c r="AJ102" i="52"/>
  <c r="BX102" i="52"/>
  <c r="BX101" i="52"/>
  <c r="BX103" i="52"/>
  <c r="BX26" i="52"/>
  <c r="BV102" i="52"/>
  <c r="BV101" i="52"/>
  <c r="BV103" i="52"/>
  <c r="CU102" i="52"/>
  <c r="BQ99" i="52"/>
  <c r="BQ103" i="52"/>
  <c r="BQ102" i="52"/>
  <c r="BQ101" i="52"/>
  <c r="BQ26" i="52"/>
  <c r="BQ43" i="52" s="1"/>
  <c r="BO101" i="52"/>
  <c r="BO102" i="52"/>
  <c r="BO103" i="52"/>
  <c r="BO26" i="52"/>
  <c r="BO43" i="52" s="1"/>
  <c r="CM102" i="52"/>
  <c r="CC102" i="52"/>
  <c r="BF102" i="52"/>
  <c r="BY101" i="52"/>
  <c r="BY26" i="52"/>
  <c r="BY103" i="52"/>
  <c r="BY102" i="52"/>
  <c r="BW102" i="52"/>
  <c r="BW101" i="52"/>
  <c r="BW103" i="52"/>
  <c r="C46" i="52"/>
  <c r="CS42" i="52"/>
  <c r="CH38" i="52"/>
  <c r="CH42" i="52" s="1"/>
  <c r="DB38" i="52"/>
  <c r="DB42" i="52" s="1"/>
  <c r="DA38" i="52"/>
  <c r="DA42" i="52" s="1"/>
  <c r="CA26" i="52"/>
  <c r="CA38" i="52"/>
  <c r="CB26" i="52"/>
  <c r="CB43" i="52" s="1"/>
  <c r="CB38" i="52"/>
  <c r="CQ26" i="52"/>
  <c r="CQ43" i="52" s="1"/>
  <c r="CC38" i="52"/>
  <c r="CC42" i="52" s="1"/>
  <c r="M26" i="52"/>
  <c r="M43" i="52" s="1"/>
  <c r="CU42" i="52"/>
  <c r="Z30" i="52"/>
  <c r="Z38" i="52" s="1"/>
  <c r="Z26" i="52"/>
  <c r="Z43" i="52" s="1"/>
  <c r="C118" i="51"/>
  <c r="AJ6" i="51" s="1"/>
  <c r="H179" i="51"/>
  <c r="P164" i="51"/>
  <c r="N164" i="51"/>
  <c r="Y164" i="51"/>
  <c r="V164" i="51"/>
  <c r="L164" i="51"/>
  <c r="K164" i="51"/>
  <c r="AE164" i="51"/>
  <c r="W164" i="51"/>
  <c r="H164" i="51"/>
  <c r="R164" i="51"/>
  <c r="X164" i="51"/>
  <c r="Q164" i="51"/>
  <c r="O164" i="51"/>
  <c r="Z164" i="51"/>
  <c r="U164" i="51"/>
  <c r="S164" i="51"/>
  <c r="AA164" i="51"/>
  <c r="T164" i="51"/>
  <c r="AC164" i="51"/>
  <c r="M164" i="51"/>
  <c r="J164" i="51"/>
  <c r="I114" i="51"/>
  <c r="I164" i="51"/>
  <c r="G179" i="51"/>
  <c r="G164" i="51"/>
  <c r="S22" i="51"/>
  <c r="AA22" i="51"/>
  <c r="Q22" i="51"/>
  <c r="L179" i="51"/>
  <c r="CP103" i="52"/>
  <c r="CP101" i="52"/>
  <c r="CP26" i="52"/>
  <c r="CP43" i="52" s="1"/>
  <c r="CN101" i="52"/>
  <c r="CN103" i="52"/>
  <c r="CN26" i="52"/>
  <c r="Z22" i="51"/>
  <c r="CR101" i="52"/>
  <c r="CR103" i="52"/>
  <c r="CR26" i="52"/>
  <c r="CR43" i="52" s="1"/>
  <c r="Y22" i="51"/>
  <c r="V22" i="51"/>
  <c r="CL101" i="52"/>
  <c r="CL103" i="52"/>
  <c r="CL26" i="52"/>
  <c r="AC26" i="52"/>
  <c r="AC43" i="52" s="1"/>
  <c r="J26" i="52"/>
  <c r="J43" i="52" s="1"/>
  <c r="BB26" i="52"/>
  <c r="BB43" i="52" s="1"/>
  <c r="L101" i="52"/>
  <c r="L103" i="52"/>
  <c r="L26" i="52"/>
  <c r="L43" i="52" s="1"/>
  <c r="CO26" i="52"/>
  <c r="H101" i="52"/>
  <c r="H103" i="52"/>
  <c r="H26" i="52"/>
  <c r="H43" i="52" s="1"/>
  <c r="AF26" i="52"/>
  <c r="AF43" i="52" s="1"/>
  <c r="AD26" i="52"/>
  <c r="AD43" i="52" s="1"/>
  <c r="AG26" i="52"/>
  <c r="AG43" i="52" s="1"/>
  <c r="K26" i="52"/>
  <c r="K43" i="52" s="1"/>
  <c r="E24" i="51"/>
  <c r="W144" i="51"/>
  <c r="W22" i="51"/>
  <c r="W146" i="51"/>
  <c r="W135" i="51"/>
  <c r="W111" i="51"/>
  <c r="W131" i="51"/>
  <c r="W36" i="51"/>
  <c r="W129" i="51" s="1"/>
  <c r="W141" i="51"/>
  <c r="W35" i="51"/>
  <c r="W127" i="51" s="1"/>
  <c r="T114" i="51"/>
  <c r="T113" i="51"/>
  <c r="T112" i="51"/>
  <c r="T22" i="51"/>
  <c r="H114" i="51"/>
  <c r="H113" i="51"/>
  <c r="H112" i="51"/>
  <c r="R22" i="51"/>
  <c r="X114" i="51"/>
  <c r="X22" i="51"/>
  <c r="X113" i="51"/>
  <c r="X112" i="51"/>
  <c r="K22" i="51"/>
  <c r="K114" i="51"/>
  <c r="K113" i="51"/>
  <c r="K112" i="51"/>
  <c r="O22" i="51"/>
  <c r="O113" i="51"/>
  <c r="O112" i="51"/>
  <c r="P144" i="51"/>
  <c r="P146" i="51"/>
  <c r="P138" i="51"/>
  <c r="P135" i="51"/>
  <c r="P141" i="51"/>
  <c r="P22" i="51"/>
  <c r="L22" i="51"/>
  <c r="L114" i="51"/>
  <c r="L113" i="51"/>
  <c r="L112" i="51"/>
  <c r="U114" i="51"/>
  <c r="U22" i="51"/>
  <c r="U112" i="51"/>
  <c r="U113" i="51"/>
  <c r="M114" i="51"/>
  <c r="M22" i="51"/>
  <c r="M113" i="51"/>
  <c r="M112" i="51"/>
  <c r="N144" i="51"/>
  <c r="N135" i="51"/>
  <c r="N138" i="51"/>
  <c r="N146" i="51"/>
  <c r="N141" i="51"/>
  <c r="N22" i="51"/>
  <c r="J114" i="51"/>
  <c r="J113" i="51"/>
  <c r="J22" i="51"/>
  <c r="J112" i="51"/>
  <c r="I178" i="51"/>
  <c r="G114" i="51"/>
  <c r="G113" i="51"/>
  <c r="G112" i="51"/>
  <c r="G26" i="52"/>
  <c r="G43" i="52" s="1"/>
  <c r="X26" i="52"/>
  <c r="X43" i="52" s="1"/>
  <c r="T101" i="52"/>
  <c r="T103" i="52"/>
  <c r="CK101" i="52"/>
  <c r="CK103" i="52"/>
  <c r="CK26" i="52"/>
  <c r="CZ101" i="52"/>
  <c r="CZ103" i="52"/>
  <c r="DA101" i="52"/>
  <c r="DA103" i="52"/>
  <c r="S101" i="52"/>
  <c r="S103" i="52"/>
  <c r="CO101" i="52"/>
  <c r="CO103" i="52"/>
  <c r="BJ101" i="52"/>
  <c r="BJ103" i="52"/>
  <c r="CI26" i="52"/>
  <c r="CI103" i="52"/>
  <c r="CI101" i="52"/>
  <c r="X103" i="52"/>
  <c r="X101" i="52"/>
  <c r="CH103" i="52"/>
  <c r="CH101" i="52"/>
  <c r="E103" i="52"/>
  <c r="E101" i="52"/>
  <c r="E26" i="52"/>
  <c r="CW26" i="52"/>
  <c r="CW101" i="52"/>
  <c r="CW103" i="52"/>
  <c r="W26" i="52"/>
  <c r="W103" i="52"/>
  <c r="W101" i="52"/>
  <c r="Z146" i="51"/>
  <c r="Z131" i="51"/>
  <c r="Z111" i="51"/>
  <c r="Z35" i="51"/>
  <c r="Z36" i="51"/>
  <c r="Z129" i="51" s="1"/>
  <c r="Z141" i="51"/>
  <c r="Z138" i="51"/>
  <c r="Z135" i="51"/>
  <c r="Z144" i="51"/>
  <c r="J101" i="52"/>
  <c r="J103" i="52"/>
  <c r="Z101" i="52"/>
  <c r="Z103" i="52"/>
  <c r="AD101" i="52"/>
  <c r="AD103" i="52"/>
  <c r="BD101" i="52"/>
  <c r="BD103" i="52"/>
  <c r="BI101" i="52"/>
  <c r="BI103" i="52"/>
  <c r="AG101" i="52"/>
  <c r="AG103" i="52"/>
  <c r="U101" i="52"/>
  <c r="U103" i="52"/>
  <c r="N101" i="52"/>
  <c r="N103" i="52"/>
  <c r="Y146" i="51"/>
  <c r="Y36" i="51"/>
  <c r="Y129" i="51" s="1"/>
  <c r="Y111" i="51"/>
  <c r="Y131" i="51"/>
  <c r="Y135" i="51"/>
  <c r="Y144" i="51"/>
  <c r="Y35" i="51"/>
  <c r="Y141" i="51"/>
  <c r="Y138" i="51"/>
  <c r="CY101" i="52"/>
  <c r="CY26" i="52"/>
  <c r="CY43" i="52" s="1"/>
  <c r="CY103" i="52"/>
  <c r="G138" i="51"/>
  <c r="G146" i="51"/>
  <c r="G129" i="51"/>
  <c r="G111" i="51"/>
  <c r="G35" i="51"/>
  <c r="G141" i="51"/>
  <c r="G22" i="51"/>
  <c r="G135" i="51"/>
  <c r="G144" i="51"/>
  <c r="G176" i="51"/>
  <c r="AC101" i="52"/>
  <c r="AC103" i="52"/>
  <c r="DB101" i="52"/>
  <c r="DB103" i="52"/>
  <c r="BE101" i="52"/>
  <c r="BE103" i="52"/>
  <c r="AZ26" i="52"/>
  <c r="AZ101" i="52"/>
  <c r="AZ103" i="52"/>
  <c r="CQ101" i="52"/>
  <c r="CQ103" i="52"/>
  <c r="L146" i="51"/>
  <c r="L111" i="51"/>
  <c r="L35" i="51"/>
  <c r="L36" i="51"/>
  <c r="L129" i="51" s="1"/>
  <c r="L141" i="51"/>
  <c r="L138" i="51"/>
  <c r="L135" i="51"/>
  <c r="L144" i="51"/>
  <c r="U146" i="51"/>
  <c r="U111" i="51"/>
  <c r="U36" i="51"/>
  <c r="U129" i="51" s="1"/>
  <c r="U35" i="51"/>
  <c r="U131" i="51"/>
  <c r="U135" i="51"/>
  <c r="U138" i="51"/>
  <c r="U144" i="51"/>
  <c r="U141" i="51"/>
  <c r="AF101" i="52"/>
  <c r="AF103" i="52"/>
  <c r="BG101" i="52"/>
  <c r="BG103" i="52"/>
  <c r="R101" i="52"/>
  <c r="R103" i="52"/>
  <c r="BH101" i="52"/>
  <c r="BH103" i="52"/>
  <c r="BK101" i="52"/>
  <c r="BK103" i="52"/>
  <c r="AH101" i="52"/>
  <c r="AH103" i="52"/>
  <c r="DD26" i="52"/>
  <c r="DD103" i="52"/>
  <c r="DD101" i="52"/>
  <c r="N111" i="51"/>
  <c r="N35" i="51"/>
  <c r="N127" i="51" s="1"/>
  <c r="N36" i="51"/>
  <c r="N129" i="51" s="1"/>
  <c r="H35" i="51"/>
  <c r="H127" i="51" s="1"/>
  <c r="H176" i="51"/>
  <c r="H22" i="51"/>
  <c r="H111" i="51"/>
  <c r="H36" i="51"/>
  <c r="H129" i="51" s="1"/>
  <c r="H135" i="51"/>
  <c r="H138" i="51"/>
  <c r="H144" i="51"/>
  <c r="H146" i="51"/>
  <c r="H141" i="51"/>
  <c r="AA103" i="52"/>
  <c r="AA101" i="52"/>
  <c r="AA26" i="52"/>
  <c r="AA43" i="52" s="1"/>
  <c r="CB101" i="52"/>
  <c r="CB103" i="52"/>
  <c r="CM26" i="52"/>
  <c r="CM103" i="52"/>
  <c r="CM101" i="52"/>
  <c r="V26" i="52"/>
  <c r="V103" i="52"/>
  <c r="V101" i="52"/>
  <c r="BM26" i="52"/>
  <c r="BM103" i="52"/>
  <c r="BM101" i="52"/>
  <c r="AJ101" i="52"/>
  <c r="AJ103" i="52"/>
  <c r="D27" i="52"/>
  <c r="V146" i="51"/>
  <c r="V36" i="51"/>
  <c r="V129" i="51" s="1"/>
  <c r="V131" i="51"/>
  <c r="V111" i="51"/>
  <c r="V35" i="51"/>
  <c r="V138" i="51"/>
  <c r="V144" i="51"/>
  <c r="V135" i="51"/>
  <c r="V141" i="51"/>
  <c r="I35" i="51"/>
  <c r="I127" i="51" s="1"/>
  <c r="I111" i="51"/>
  <c r="I36" i="51"/>
  <c r="I129" i="51" s="1"/>
  <c r="I22" i="51"/>
  <c r="I144" i="51"/>
  <c r="I135" i="51"/>
  <c r="I113" i="51"/>
  <c r="I112" i="51"/>
  <c r="I141" i="51"/>
  <c r="I138" i="51"/>
  <c r="I146" i="51"/>
  <c r="R146" i="51"/>
  <c r="R111" i="51"/>
  <c r="R131" i="51"/>
  <c r="R35" i="51"/>
  <c r="R36" i="51"/>
  <c r="R129" i="51" s="1"/>
  <c r="R135" i="51"/>
  <c r="R141" i="51"/>
  <c r="R138" i="51"/>
  <c r="R144" i="51"/>
  <c r="AE111" i="51"/>
  <c r="AE115" i="51" s="1"/>
  <c r="AE24" i="51"/>
  <c r="AE146" i="51"/>
  <c r="AE135" i="51"/>
  <c r="AE138" i="51"/>
  <c r="S146" i="51"/>
  <c r="S35" i="51"/>
  <c r="S111" i="51"/>
  <c r="S131" i="51"/>
  <c r="S36" i="51"/>
  <c r="S129" i="51" s="1"/>
  <c r="S135" i="51"/>
  <c r="S141" i="51"/>
  <c r="S144" i="51"/>
  <c r="S138" i="51"/>
  <c r="CV26" i="52"/>
  <c r="CV101" i="52"/>
  <c r="CV103" i="52"/>
  <c r="AA146" i="51"/>
  <c r="AA35" i="51"/>
  <c r="AA36" i="51"/>
  <c r="AA129" i="51" s="1"/>
  <c r="AA111" i="51"/>
  <c r="AA131" i="51"/>
  <c r="AA138" i="51"/>
  <c r="AA144" i="51"/>
  <c r="AA141" i="51"/>
  <c r="AA135" i="51"/>
  <c r="CC101" i="52"/>
  <c r="CC103" i="52"/>
  <c r="Q146" i="51"/>
  <c r="Q36" i="51"/>
  <c r="Q129" i="51" s="1"/>
  <c r="Q131" i="51"/>
  <c r="Q35" i="51"/>
  <c r="Q111" i="51"/>
  <c r="Q138" i="51"/>
  <c r="Q141" i="51"/>
  <c r="Q135" i="51"/>
  <c r="Q144" i="51"/>
  <c r="O146" i="51"/>
  <c r="O111" i="51"/>
  <c r="O35" i="51"/>
  <c r="O36" i="51"/>
  <c r="O129" i="51" s="1"/>
  <c r="O141" i="51"/>
  <c r="O144" i="51"/>
  <c r="O138" i="51"/>
  <c r="O135" i="51"/>
  <c r="BF101" i="52"/>
  <c r="BF103" i="52"/>
  <c r="M101" i="52"/>
  <c r="M103" i="52"/>
  <c r="DC26" i="52"/>
  <c r="DC101" i="52"/>
  <c r="DC103" i="52"/>
  <c r="K101" i="52"/>
  <c r="K103" i="52"/>
  <c r="X146" i="51"/>
  <c r="X111" i="51"/>
  <c r="X35" i="51"/>
  <c r="X131" i="51"/>
  <c r="X144" i="51"/>
  <c r="X135" i="51"/>
  <c r="X36" i="51"/>
  <c r="X129" i="51" s="1"/>
  <c r="X138" i="51"/>
  <c r="X141" i="51"/>
  <c r="K146" i="51"/>
  <c r="K135" i="51"/>
  <c r="K141" i="51"/>
  <c r="K35" i="51"/>
  <c r="K138" i="51"/>
  <c r="K111" i="51"/>
  <c r="K36" i="51"/>
  <c r="K129" i="51" s="1"/>
  <c r="K144" i="51"/>
  <c r="T146" i="51"/>
  <c r="T111" i="51"/>
  <c r="T144" i="51"/>
  <c r="T36" i="51"/>
  <c r="T129" i="51" s="1"/>
  <c r="T135" i="51"/>
  <c r="T131" i="51"/>
  <c r="T138" i="51"/>
  <c r="T141" i="51"/>
  <c r="T35" i="51"/>
  <c r="BA26" i="52"/>
  <c r="BA103" i="52"/>
  <c r="BA101" i="52"/>
  <c r="AC146" i="51"/>
  <c r="AC35" i="51"/>
  <c r="AC36" i="51"/>
  <c r="AC111" i="51"/>
  <c r="AC131" i="51"/>
  <c r="AC141" i="51"/>
  <c r="AC138" i="51"/>
  <c r="AC135" i="51"/>
  <c r="AC144" i="51"/>
  <c r="P101" i="52"/>
  <c r="P103" i="52"/>
  <c r="CT101" i="52"/>
  <c r="CT103" i="52"/>
  <c r="E146" i="51"/>
  <c r="AJ11" i="51" s="1"/>
  <c r="E38" i="51"/>
  <c r="E141" i="51"/>
  <c r="AJ12" i="51" s="1"/>
  <c r="E138" i="51"/>
  <c r="AJ10" i="51" s="1"/>
  <c r="E135" i="51"/>
  <c r="AD24" i="51"/>
  <c r="AD111" i="51"/>
  <c r="AD115" i="51" s="1"/>
  <c r="AD138" i="51"/>
  <c r="AD146" i="51"/>
  <c r="AD135" i="51"/>
  <c r="CX103" i="52"/>
  <c r="CX101" i="52"/>
  <c r="CX26" i="52"/>
  <c r="CA103" i="52"/>
  <c r="CA101" i="52"/>
  <c r="O101" i="52"/>
  <c r="O103" i="52"/>
  <c r="BN26" i="52"/>
  <c r="BN101" i="52"/>
  <c r="BN103" i="52"/>
  <c r="G101" i="52"/>
  <c r="G103" i="52"/>
  <c r="P111" i="51"/>
  <c r="P36" i="51"/>
  <c r="P129" i="51" s="1"/>
  <c r="P131" i="51"/>
  <c r="P35" i="51"/>
  <c r="AB101" i="52"/>
  <c r="AB26" i="52"/>
  <c r="AB43" i="52" s="1"/>
  <c r="AB103" i="52"/>
  <c r="Q101" i="52"/>
  <c r="Q103" i="52"/>
  <c r="M146" i="51"/>
  <c r="M111" i="51"/>
  <c r="M141" i="51"/>
  <c r="M35" i="51"/>
  <c r="M36" i="51"/>
  <c r="M129" i="51" s="1"/>
  <c r="M135" i="51"/>
  <c r="M144" i="51"/>
  <c r="M131" i="51"/>
  <c r="M138" i="51"/>
  <c r="CS103" i="52"/>
  <c r="CS101" i="52"/>
  <c r="J35" i="51"/>
  <c r="J111" i="51"/>
  <c r="J36" i="51"/>
  <c r="J129" i="51" s="1"/>
  <c r="J146" i="51"/>
  <c r="J138" i="51"/>
  <c r="J144" i="51"/>
  <c r="J141" i="51"/>
  <c r="J135" i="51"/>
  <c r="BB101" i="52"/>
  <c r="BB103" i="52"/>
  <c r="BL101" i="52"/>
  <c r="BL103" i="52"/>
  <c r="AI101" i="52"/>
  <c r="AI103" i="52"/>
  <c r="CU101" i="52"/>
  <c r="CU103" i="52"/>
  <c r="CJ103" i="52"/>
  <c r="CJ101" i="52"/>
  <c r="CJ26" i="52"/>
  <c r="C97" i="52"/>
  <c r="AV38" i="52" l="1"/>
  <c r="AN38" i="52"/>
  <c r="AN27" i="52"/>
  <c r="AN96" i="52" s="1"/>
  <c r="AN44" i="52"/>
  <c r="AN46" i="52" s="1"/>
  <c r="AV27" i="52"/>
  <c r="AV44" i="52"/>
  <c r="AV43" i="52"/>
  <c r="AW48" i="52"/>
  <c r="AW55" i="52" s="1"/>
  <c r="AW107" i="52"/>
  <c r="AR42" i="52"/>
  <c r="AR51" i="52" s="1"/>
  <c r="AR110" i="52" s="1"/>
  <c r="CL99" i="52"/>
  <c r="BW38" i="52"/>
  <c r="D92" i="51" a="1"/>
  <c r="D92" i="51" s="1"/>
  <c r="BW43" i="52"/>
  <c r="ED9" i="52"/>
  <c r="BV27" i="52"/>
  <c r="BV96" i="52" s="1"/>
  <c r="BV44" i="52"/>
  <c r="BW27" i="52"/>
  <c r="BW96" i="52" s="1"/>
  <c r="BW44" i="52"/>
  <c r="BV43" i="52"/>
  <c r="BX43" i="52"/>
  <c r="E43" i="52"/>
  <c r="E69" i="51"/>
  <c r="AJ9" i="51"/>
  <c r="J24" i="51"/>
  <c r="J124" i="51"/>
  <c r="S24" i="51"/>
  <c r="S124" i="51"/>
  <c r="H24" i="51"/>
  <c r="H124" i="51"/>
  <c r="K24" i="51"/>
  <c r="K124" i="51"/>
  <c r="V24" i="51"/>
  <c r="V124" i="51"/>
  <c r="T24" i="51"/>
  <c r="T124" i="51"/>
  <c r="Y24" i="51"/>
  <c r="Y124" i="51"/>
  <c r="N24" i="51"/>
  <c r="N124" i="51"/>
  <c r="M24" i="51"/>
  <c r="M124" i="51"/>
  <c r="P24" i="51"/>
  <c r="P124" i="51"/>
  <c r="O24" i="51"/>
  <c r="O124" i="51"/>
  <c r="W24" i="51"/>
  <c r="W124" i="51"/>
  <c r="I24" i="51"/>
  <c r="I124" i="51"/>
  <c r="X24" i="51"/>
  <c r="X124" i="51"/>
  <c r="G24" i="51"/>
  <c r="G124" i="51"/>
  <c r="R24" i="51"/>
  <c r="R124" i="51"/>
  <c r="Z24" i="51"/>
  <c r="Z124" i="51"/>
  <c r="Q24" i="51"/>
  <c r="Q124" i="51"/>
  <c r="L24" i="51"/>
  <c r="L124" i="51"/>
  <c r="U24" i="51"/>
  <c r="U124" i="51"/>
  <c r="AA24" i="51"/>
  <c r="AA124" i="51"/>
  <c r="F88" i="51"/>
  <c r="AY51" i="52"/>
  <c r="AY110" i="52" s="1"/>
  <c r="AY53" i="52"/>
  <c r="AY111" i="52" s="1"/>
  <c r="AY74" i="52"/>
  <c r="AY77" i="52" s="1"/>
  <c r="AW51" i="52"/>
  <c r="AW110" i="52" s="1"/>
  <c r="AW53" i="52"/>
  <c r="AW111" i="52" s="1"/>
  <c r="AW74" i="52"/>
  <c r="AW77" i="52" s="1"/>
  <c r="AQ74" i="52"/>
  <c r="AQ45" i="52"/>
  <c r="AQ48" i="52" s="1"/>
  <c r="AQ55" i="52" s="1"/>
  <c r="AQ53" i="52"/>
  <c r="AQ111" i="52" s="1"/>
  <c r="AS51" i="52"/>
  <c r="AS110" i="52" s="1"/>
  <c r="AS53" i="52"/>
  <c r="AS111" i="52" s="1"/>
  <c r="AS45" i="52"/>
  <c r="AS48" i="52" s="1"/>
  <c r="AS55" i="52" s="1"/>
  <c r="AS74" i="52"/>
  <c r="AS77" i="52" s="1"/>
  <c r="AT53" i="52"/>
  <c r="AT111" i="52" s="1"/>
  <c r="AT113" i="52" s="1"/>
  <c r="AT45" i="52"/>
  <c r="AT48" i="52" s="1"/>
  <c r="AT55" i="52" s="1"/>
  <c r="AT74" i="52"/>
  <c r="AT77" i="52" s="1"/>
  <c r="AO107" i="52"/>
  <c r="AO75" i="52"/>
  <c r="AE75" i="52"/>
  <c r="AE107" i="52"/>
  <c r="AP74" i="52"/>
  <c r="AP45" i="52"/>
  <c r="AP48" i="52" s="1"/>
  <c r="AP55" i="52" s="1"/>
  <c r="AP53" i="52"/>
  <c r="AP111" i="52" s="1"/>
  <c r="CE107" i="52"/>
  <c r="CE75" i="52"/>
  <c r="CF107" i="52"/>
  <c r="CF75" i="52"/>
  <c r="I75" i="52"/>
  <c r="I107" i="52"/>
  <c r="AK75" i="52"/>
  <c r="AK107" i="52"/>
  <c r="AR45" i="52"/>
  <c r="AR48" i="52" s="1"/>
  <c r="AL75" i="52"/>
  <c r="AL107" i="52"/>
  <c r="AE74" i="52"/>
  <c r="AE77" i="52" s="1"/>
  <c r="AE79" i="52" s="1" a="1"/>
  <c r="AE79" i="52" s="1"/>
  <c r="AE53" i="52"/>
  <c r="AE111" i="52" s="1"/>
  <c r="AE45" i="52"/>
  <c r="AE48" i="52" s="1"/>
  <c r="CE53" i="52"/>
  <c r="CE111" i="52" s="1"/>
  <c r="CE74" i="52"/>
  <c r="CE45" i="52"/>
  <c r="CE48" i="52" s="1"/>
  <c r="CE55" i="52" s="1"/>
  <c r="AM74" i="52"/>
  <c r="AM45" i="52"/>
  <c r="AM48" i="52" s="1"/>
  <c r="AM55" i="52" s="1"/>
  <c r="AM53" i="52"/>
  <c r="AM111" i="52" s="1"/>
  <c r="F66" i="51"/>
  <c r="F161" i="51" s="1"/>
  <c r="F169" i="51" s="1"/>
  <c r="F87" i="51"/>
  <c r="F90" i="51" s="1"/>
  <c r="F92" i="51" s="1" a="1"/>
  <c r="F92" i="51" s="1"/>
  <c r="F55" i="51"/>
  <c r="F50" i="51"/>
  <c r="I45" i="52"/>
  <c r="I48" i="52" s="1"/>
  <c r="I55" i="52" s="1"/>
  <c r="I74" i="52"/>
  <c r="I53" i="52"/>
  <c r="I111" i="52" s="1"/>
  <c r="Y75" i="52"/>
  <c r="Y107" i="52"/>
  <c r="AP107" i="52"/>
  <c r="AP75" i="52"/>
  <c r="AU51" i="52"/>
  <c r="AU110" i="52" s="1"/>
  <c r="AU53" i="52"/>
  <c r="AU111" i="52" s="1"/>
  <c r="AU74" i="52"/>
  <c r="AU77" i="52" s="1"/>
  <c r="AU45" i="52"/>
  <c r="AU48" i="52" s="1"/>
  <c r="AU55" i="52" s="1"/>
  <c r="AK45" i="52"/>
  <c r="AK48" i="52" s="1"/>
  <c r="AK55" i="52" s="1"/>
  <c r="AK53" i="52"/>
  <c r="AK111" i="52" s="1"/>
  <c r="AK74" i="52"/>
  <c r="Y74" i="52"/>
  <c r="Y77" i="52" s="1"/>
  <c r="Y53" i="52"/>
  <c r="Y111" i="52" s="1"/>
  <c r="Y45" i="52"/>
  <c r="Y48" i="52" s="1"/>
  <c r="Y55" i="52" s="1"/>
  <c r="AL53" i="52"/>
  <c r="AL111" i="52" s="1"/>
  <c r="AL74" i="52"/>
  <c r="AL45" i="52"/>
  <c r="AL48" i="52" s="1"/>
  <c r="AL55" i="52" s="1"/>
  <c r="CF45" i="52"/>
  <c r="CF48" i="52" s="1"/>
  <c r="CF55" i="52" s="1"/>
  <c r="CF74" i="52"/>
  <c r="CF53" i="52"/>
  <c r="CF111" i="52" s="1"/>
  <c r="CG75" i="52"/>
  <c r="CG107" i="52"/>
  <c r="AO45" i="52"/>
  <c r="AO48" i="52" s="1"/>
  <c r="AO55" i="52" s="1"/>
  <c r="AO74" i="52"/>
  <c r="AO53" i="52"/>
  <c r="AO111" i="52" s="1"/>
  <c r="CD75" i="52"/>
  <c r="CD107" i="52"/>
  <c r="AX51" i="52"/>
  <c r="AX110" i="52" s="1"/>
  <c r="AX53" i="52"/>
  <c r="AX111" i="52" s="1"/>
  <c r="AX74" i="52"/>
  <c r="AX77" i="52" s="1"/>
  <c r="AX55" i="52"/>
  <c r="CG53" i="52"/>
  <c r="CG111" i="52" s="1"/>
  <c r="CG45" i="52"/>
  <c r="CG48" i="52" s="1"/>
  <c r="CG55" i="52" s="1"/>
  <c r="CG74" i="52"/>
  <c r="AQ107" i="52"/>
  <c r="AQ75" i="52"/>
  <c r="BC107" i="52"/>
  <c r="BC75" i="52"/>
  <c r="AM107" i="52"/>
  <c r="AM75" i="52"/>
  <c r="CD53" i="52"/>
  <c r="CD111" i="52" s="1"/>
  <c r="CD74" i="52"/>
  <c r="CD45" i="52"/>
  <c r="CD48" i="52" s="1"/>
  <c r="CD55" i="52" s="1"/>
  <c r="F112" i="52"/>
  <c r="F44" i="52"/>
  <c r="G99" i="52"/>
  <c r="DR9" i="52"/>
  <c r="BO99" i="52"/>
  <c r="AD44" i="52"/>
  <c r="CO43" i="52"/>
  <c r="AC44" i="52"/>
  <c r="CN43" i="52"/>
  <c r="AA99" i="52"/>
  <c r="BB38" i="52"/>
  <c r="H99" i="52"/>
  <c r="E99" i="52"/>
  <c r="CL43" i="52"/>
  <c r="C87" i="51"/>
  <c r="C90" i="51" s="1"/>
  <c r="C64" i="51"/>
  <c r="C159" i="51" s="1"/>
  <c r="K131" i="51"/>
  <c r="L131" i="51"/>
  <c r="BF38" i="52"/>
  <c r="D42" i="52"/>
  <c r="D51" i="52" s="1"/>
  <c r="CM99" i="52"/>
  <c r="BK27" i="52"/>
  <c r="BG27" i="52"/>
  <c r="X38" i="52"/>
  <c r="BK44" i="52"/>
  <c r="BE27" i="52"/>
  <c r="BE96" i="52" s="1"/>
  <c r="BJ27" i="52"/>
  <c r="BJ96" i="52" s="1"/>
  <c r="CX43" i="52"/>
  <c r="AH27" i="52"/>
  <c r="BD27" i="52"/>
  <c r="BJ44" i="52"/>
  <c r="BH27" i="52"/>
  <c r="BH96" i="52" s="1"/>
  <c r="BG44" i="52"/>
  <c r="BE44" i="52"/>
  <c r="AI27" i="52"/>
  <c r="BI27" i="52"/>
  <c r="BI44" i="52"/>
  <c r="BD44" i="52"/>
  <c r="CZ27" i="52"/>
  <c r="CZ96" i="52" s="1"/>
  <c r="M99" i="52"/>
  <c r="BF44" i="52"/>
  <c r="BF27" i="52"/>
  <c r="AJ27" i="52"/>
  <c r="AJ96" i="52" s="1"/>
  <c r="AJ44" i="52"/>
  <c r="BH44" i="52"/>
  <c r="X100" i="52"/>
  <c r="K44" i="52"/>
  <c r="AB112" i="52"/>
  <c r="CA43" i="52"/>
  <c r="CA44" i="52"/>
  <c r="O27" i="52"/>
  <c r="BQ44" i="52"/>
  <c r="BR44" i="52"/>
  <c r="H112" i="52"/>
  <c r="X44" i="52"/>
  <c r="G112" i="52"/>
  <c r="E112" i="52"/>
  <c r="BX44" i="52"/>
  <c r="T44" i="52"/>
  <c r="AA112" i="52"/>
  <c r="BO44" i="52"/>
  <c r="X112" i="52"/>
  <c r="Z44" i="52"/>
  <c r="BP44" i="52"/>
  <c r="S44" i="52"/>
  <c r="N27" i="52"/>
  <c r="I131" i="51"/>
  <c r="C45" i="52"/>
  <c r="C48" i="52" s="1"/>
  <c r="C55" i="52" s="1"/>
  <c r="C51" i="52"/>
  <c r="C110" i="52" s="1"/>
  <c r="G131" i="51"/>
  <c r="G127" i="51"/>
  <c r="DA45" i="52"/>
  <c r="E46" i="51"/>
  <c r="E48" i="51" s="1"/>
  <c r="E45" i="51"/>
  <c r="E47" i="51"/>
  <c r="CP44" i="52"/>
  <c r="T27" i="52"/>
  <c r="CR44" i="52"/>
  <c r="CQ44" i="52"/>
  <c r="S27" i="52"/>
  <c r="CY44" i="52"/>
  <c r="CY46" i="52" s="1"/>
  <c r="CY107" i="52" s="1"/>
  <c r="CL44" i="52"/>
  <c r="CX44" i="52"/>
  <c r="CN44" i="52"/>
  <c r="CK44" i="52"/>
  <c r="CB44" i="52"/>
  <c r="Q46" i="52"/>
  <c r="Q107" i="52" s="1"/>
  <c r="CC45" i="52"/>
  <c r="BT45" i="52"/>
  <c r="CC46" i="52"/>
  <c r="CC107" i="52" s="1"/>
  <c r="R45" i="52"/>
  <c r="CU46" i="52"/>
  <c r="CU107" i="52" s="1"/>
  <c r="CQ27" i="52"/>
  <c r="CQ42" i="52" s="1"/>
  <c r="C75" i="52"/>
  <c r="C107" i="52"/>
  <c r="CS45" i="52"/>
  <c r="U45" i="52"/>
  <c r="DB45" i="52"/>
  <c r="P45" i="52"/>
  <c r="CU45" i="52"/>
  <c r="Q45" i="52"/>
  <c r="CT45" i="52"/>
  <c r="BU45" i="52"/>
  <c r="CH45" i="52"/>
  <c r="BS45" i="52"/>
  <c r="D46" i="52"/>
  <c r="D107" i="52" s="1"/>
  <c r="AB25" i="51"/>
  <c r="AB127" i="51"/>
  <c r="AB61" i="51"/>
  <c r="AB168" i="51" s="1"/>
  <c r="AC129" i="51"/>
  <c r="AJ23" i="51" s="1"/>
  <c r="AC127" i="51"/>
  <c r="E49" i="51"/>
  <c r="C49" i="51"/>
  <c r="CA27" i="52"/>
  <c r="M27" i="52"/>
  <c r="L107" i="51"/>
  <c r="AB107" i="51"/>
  <c r="C107" i="51"/>
  <c r="DB46" i="52"/>
  <c r="DB107" i="52" s="1"/>
  <c r="P53" i="52"/>
  <c r="P111" i="52" s="1"/>
  <c r="BX27" i="52"/>
  <c r="BQ27" i="52"/>
  <c r="BY43" i="52"/>
  <c r="BY46" i="52" s="1"/>
  <c r="BY107" i="52" s="1"/>
  <c r="BY42" i="52"/>
  <c r="BY98" i="52"/>
  <c r="BO27" i="52"/>
  <c r="BP27" i="52"/>
  <c r="BT74" i="52"/>
  <c r="BT53" i="52"/>
  <c r="BT111" i="52" s="1"/>
  <c r="CX99" i="52"/>
  <c r="BT46" i="52"/>
  <c r="BT107" i="52" s="1"/>
  <c r="BS46" i="52"/>
  <c r="BS107" i="52" s="1"/>
  <c r="BR27" i="52"/>
  <c r="CT53" i="52"/>
  <c r="CT111" i="52" s="1"/>
  <c r="CK38" i="52"/>
  <c r="CK43" i="52" s="1"/>
  <c r="CK99" i="52"/>
  <c r="DA46" i="52"/>
  <c r="DA107" i="52" s="1"/>
  <c r="BU53" i="52"/>
  <c r="BU111" i="52" s="1"/>
  <c r="BU74" i="52"/>
  <c r="DB53" i="52"/>
  <c r="DB111" i="52" s="1"/>
  <c r="CC53" i="52"/>
  <c r="CC111" i="52" s="1"/>
  <c r="E118" i="51"/>
  <c r="AJ7" i="51" s="1"/>
  <c r="CT46" i="52"/>
  <c r="CT107" i="52" s="1"/>
  <c r="CH46" i="52"/>
  <c r="CH107" i="52" s="1"/>
  <c r="CS46" i="52"/>
  <c r="CS107" i="52" s="1"/>
  <c r="ED12" i="52"/>
  <c r="BS53" i="52"/>
  <c r="BS111" i="52" s="1"/>
  <c r="BS74" i="52"/>
  <c r="R53" i="52"/>
  <c r="R111" i="52" s="1"/>
  <c r="CH53" i="52"/>
  <c r="CH111" i="52" s="1"/>
  <c r="CB27" i="52"/>
  <c r="CB42" i="52" s="1"/>
  <c r="CB51" i="52" s="1"/>
  <c r="U46" i="52"/>
  <c r="U107" i="52" s="1"/>
  <c r="ED11" i="52"/>
  <c r="R46" i="52"/>
  <c r="R107" i="52" s="1"/>
  <c r="BU46" i="52"/>
  <c r="BU107" i="52" s="1"/>
  <c r="CS53" i="52"/>
  <c r="CS111" i="52" s="1"/>
  <c r="CU53" i="52"/>
  <c r="CU111" i="52" s="1"/>
  <c r="Q53" i="52"/>
  <c r="Q111" i="52" s="1"/>
  <c r="U53" i="52"/>
  <c r="U111" i="52" s="1"/>
  <c r="DA53" i="52"/>
  <c r="DA111" i="52" s="1"/>
  <c r="P46" i="52"/>
  <c r="ED10" i="52"/>
  <c r="BZ42" i="52"/>
  <c r="BZ43" i="52"/>
  <c r="BZ46" i="52" s="1"/>
  <c r="BZ107" i="52" s="1"/>
  <c r="BZ98" i="52"/>
  <c r="Z100" i="52"/>
  <c r="CY38" i="52"/>
  <c r="BL75" i="52"/>
  <c r="Z27" i="52"/>
  <c r="G58" i="52"/>
  <c r="H58" i="52"/>
  <c r="AJ34" i="51"/>
  <c r="K27" i="52"/>
  <c r="C53" i="52"/>
  <c r="CL27" i="52"/>
  <c r="CR27" i="52"/>
  <c r="CR42" i="52" s="1"/>
  <c r="CP27" i="52"/>
  <c r="CP42" i="52" s="1"/>
  <c r="CN27" i="52"/>
  <c r="L27" i="52"/>
  <c r="L25" i="51"/>
  <c r="AF27" i="52"/>
  <c r="J27" i="52"/>
  <c r="AG27" i="52"/>
  <c r="AC27" i="52"/>
  <c r="H27" i="52"/>
  <c r="EA11" i="52"/>
  <c r="AD27" i="52"/>
  <c r="CO27" i="52"/>
  <c r="BB27" i="52"/>
  <c r="AA127" i="51"/>
  <c r="Z127" i="51"/>
  <c r="Y127" i="51"/>
  <c r="W115" i="51"/>
  <c r="W25" i="51"/>
  <c r="X127" i="51"/>
  <c r="V127" i="51"/>
  <c r="U127" i="51"/>
  <c r="T127" i="51"/>
  <c r="S127" i="51"/>
  <c r="R127" i="51"/>
  <c r="Q127" i="51"/>
  <c r="P127" i="51"/>
  <c r="O127" i="51"/>
  <c r="M127" i="51"/>
  <c r="L127" i="51"/>
  <c r="G27" i="52"/>
  <c r="K127" i="51"/>
  <c r="J127" i="51"/>
  <c r="EA10" i="52"/>
  <c r="EA9" i="52"/>
  <c r="DU10" i="52"/>
  <c r="DU11" i="52"/>
  <c r="X27" i="52"/>
  <c r="DR12" i="52"/>
  <c r="AA115" i="51"/>
  <c r="AA25" i="51"/>
  <c r="CV98" i="52"/>
  <c r="CV43" i="52"/>
  <c r="CV46" i="52" s="1"/>
  <c r="CV107" i="52" s="1"/>
  <c r="CV42" i="52"/>
  <c r="AE45" i="51"/>
  <c r="AE124" i="51"/>
  <c r="DO19" i="52"/>
  <c r="AI149" i="51"/>
  <c r="Y25" i="51"/>
  <c r="Y38" i="51" s="1"/>
  <c r="Y115" i="51"/>
  <c r="DL18" i="52"/>
  <c r="DX10" i="52"/>
  <c r="DC98" i="52"/>
  <c r="DC43" i="52"/>
  <c r="DC46" i="52" s="1"/>
  <c r="DC107" i="52" s="1"/>
  <c r="DC42" i="52"/>
  <c r="S115" i="51"/>
  <c r="S25" i="51"/>
  <c r="S38" i="51" s="1"/>
  <c r="D97" i="52"/>
  <c r="DL8" i="52" s="1"/>
  <c r="H115" i="51"/>
  <c r="H25" i="51"/>
  <c r="N25" i="51"/>
  <c r="N118" i="51" s="1"/>
  <c r="N115" i="51"/>
  <c r="L115" i="51"/>
  <c r="DU9" i="52"/>
  <c r="AD45" i="51"/>
  <c r="AD124" i="51"/>
  <c r="AE46" i="51"/>
  <c r="AE48" i="51" s="1"/>
  <c r="AE53" i="51" s="1"/>
  <c r="I25" i="51"/>
  <c r="I118" i="51" s="1"/>
  <c r="I115" i="51"/>
  <c r="AJ29" i="51"/>
  <c r="W98" i="52"/>
  <c r="W43" i="52"/>
  <c r="W46" i="52" s="1"/>
  <c r="W107" i="52" s="1"/>
  <c r="W42" i="52"/>
  <c r="DL16" i="52"/>
  <c r="CI42" i="52"/>
  <c r="CI43" i="52"/>
  <c r="CI46" i="52" s="1"/>
  <c r="CI107" i="52" s="1"/>
  <c r="CI98" i="52"/>
  <c r="AD46" i="51"/>
  <c r="AD48" i="51" s="1"/>
  <c r="AD53" i="51" s="1"/>
  <c r="AD153" i="51" s="1"/>
  <c r="P74" i="52"/>
  <c r="P77" i="52" s="1"/>
  <c r="BM43" i="52"/>
  <c r="BM46" i="52" s="1"/>
  <c r="BM107" i="52" s="1"/>
  <c r="BM42" i="52"/>
  <c r="BM98" i="52"/>
  <c r="CM27" i="52"/>
  <c r="DB74" i="52"/>
  <c r="U74" i="52"/>
  <c r="U77" i="52" s="1"/>
  <c r="Z25" i="51"/>
  <c r="Z38" i="51" s="1"/>
  <c r="Z115" i="51"/>
  <c r="J25" i="51"/>
  <c r="J38" i="51" s="1"/>
  <c r="J115" i="51"/>
  <c r="CS74" i="52"/>
  <c r="AC25" i="51"/>
  <c r="AC46" i="51" s="1"/>
  <c r="AC115" i="51"/>
  <c r="BA42" i="52"/>
  <c r="BA43" i="52"/>
  <c r="BA46" i="52" s="1"/>
  <c r="BA107" i="52" s="1"/>
  <c r="BA98" i="52"/>
  <c r="K25" i="51"/>
  <c r="K38" i="51" s="1"/>
  <c r="K115" i="51"/>
  <c r="R115" i="51"/>
  <c r="R25" i="51"/>
  <c r="R38" i="51" s="1"/>
  <c r="V25" i="51"/>
  <c r="V38" i="51" s="1"/>
  <c r="V115" i="51"/>
  <c r="DL19" i="52"/>
  <c r="DO10" i="52"/>
  <c r="CK27" i="52"/>
  <c r="AB27" i="52"/>
  <c r="DR11" i="52"/>
  <c r="P25" i="51"/>
  <c r="P118" i="51" s="1"/>
  <c r="P115" i="51"/>
  <c r="AA27" i="52"/>
  <c r="DD98" i="52"/>
  <c r="DD43" i="52"/>
  <c r="DD46" i="52" s="1"/>
  <c r="DD107" i="52" s="1"/>
  <c r="DD42" i="52"/>
  <c r="R74" i="52"/>
  <c r="R77" i="52" s="1"/>
  <c r="U115" i="51"/>
  <c r="U25" i="51"/>
  <c r="U38" i="51" s="1"/>
  <c r="AZ42" i="52"/>
  <c r="AZ43" i="52"/>
  <c r="AZ46" i="52" s="1"/>
  <c r="AZ107" i="52" s="1"/>
  <c r="AZ98" i="52"/>
  <c r="G25" i="51"/>
  <c r="G115" i="51"/>
  <c r="CY27" i="52"/>
  <c r="CH74" i="52"/>
  <c r="DO13" i="52"/>
  <c r="DA74" i="52"/>
  <c r="CU74" i="52"/>
  <c r="C74" i="52"/>
  <c r="C77" i="52" s="1"/>
  <c r="DR10" i="52"/>
  <c r="CT74" i="52"/>
  <c r="T115" i="51"/>
  <c r="T25" i="51"/>
  <c r="T38" i="51" s="1"/>
  <c r="O25" i="51"/>
  <c r="O38" i="51" s="1"/>
  <c r="O115" i="51"/>
  <c r="Q115" i="51"/>
  <c r="Q25" i="51"/>
  <c r="Q38" i="51" s="1"/>
  <c r="DO18" i="52"/>
  <c r="AJ28" i="51"/>
  <c r="CW98" i="52"/>
  <c r="CW42" i="52"/>
  <c r="CW43" i="52"/>
  <c r="CW46" i="52" s="1"/>
  <c r="CW107" i="52" s="1"/>
  <c r="DO11" i="52"/>
  <c r="DX11" i="52"/>
  <c r="CX27" i="52"/>
  <c r="M25" i="51"/>
  <c r="M38" i="51" s="1"/>
  <c r="M115" i="51"/>
  <c r="CJ42" i="52"/>
  <c r="CJ98" i="52"/>
  <c r="CJ43" i="52"/>
  <c r="CJ46" i="52" s="1"/>
  <c r="CJ107" i="52" s="1"/>
  <c r="Q74" i="52"/>
  <c r="Q77" i="52" s="1"/>
  <c r="BN98" i="52"/>
  <c r="BN42" i="52"/>
  <c r="BN43" i="52"/>
  <c r="BN46" i="52" s="1"/>
  <c r="BN107" i="52" s="1"/>
  <c r="AH146" i="51"/>
  <c r="X25" i="51"/>
  <c r="X38" i="51" s="1"/>
  <c r="X115" i="51"/>
  <c r="CC74" i="52"/>
  <c r="V98" i="52"/>
  <c r="V42" i="52"/>
  <c r="V43" i="52"/>
  <c r="V46" i="52" s="1"/>
  <c r="V107" i="52" s="1"/>
  <c r="DO16" i="52"/>
  <c r="AJ25" i="51"/>
  <c r="AJ27" i="51"/>
  <c r="AI150" i="51"/>
  <c r="E27" i="52"/>
  <c r="DX9" i="52"/>
  <c r="AN107" i="52" l="1"/>
  <c r="AN75" i="52"/>
  <c r="AV46" i="52"/>
  <c r="AV96" i="52"/>
  <c r="AV42" i="52"/>
  <c r="AN42" i="52"/>
  <c r="AY55" i="52"/>
  <c r="AR74" i="52"/>
  <c r="AR77" i="52" s="1"/>
  <c r="AR53" i="52"/>
  <c r="AR111" i="52" s="1"/>
  <c r="AR113" i="52" s="1"/>
  <c r="AE55" i="52"/>
  <c r="AE83" i="52"/>
  <c r="AE81" i="52"/>
  <c r="BW46" i="52"/>
  <c r="BW107" i="52" s="1"/>
  <c r="BV46" i="52"/>
  <c r="BV107" i="52" s="1"/>
  <c r="F94" i="51"/>
  <c r="F96" i="51"/>
  <c r="AU113" i="52"/>
  <c r="AX113" i="52"/>
  <c r="I113" i="52"/>
  <c r="BW42" i="52"/>
  <c r="AW113" i="52"/>
  <c r="AY113" i="52"/>
  <c r="BV42" i="52"/>
  <c r="F99" i="52"/>
  <c r="F43" i="52"/>
  <c r="F46" i="52" s="1"/>
  <c r="BX38" i="52"/>
  <c r="BX42" i="52" s="1"/>
  <c r="BX51" i="52" s="1"/>
  <c r="BX99" i="52"/>
  <c r="ED13" i="52" s="1"/>
  <c r="Y113" i="52"/>
  <c r="F68" i="51"/>
  <c r="AL113" i="52"/>
  <c r="AK113" i="52"/>
  <c r="AE113" i="52"/>
  <c r="AP113" i="52"/>
  <c r="L46" i="51"/>
  <c r="L48" i="51" s="1"/>
  <c r="L53" i="51" s="1"/>
  <c r="L153" i="51" s="1"/>
  <c r="CG113" i="52"/>
  <c r="F38" i="52"/>
  <c r="F42" i="52" s="1"/>
  <c r="AS113" i="52"/>
  <c r="CF113" i="52"/>
  <c r="AO113" i="52"/>
  <c r="CE113" i="52"/>
  <c r="CD113" i="52"/>
  <c r="AQ54" i="52"/>
  <c r="CD54" i="52"/>
  <c r="F67" i="51"/>
  <c r="F171" i="51" s="1"/>
  <c r="AT54" i="52"/>
  <c r="CG54" i="52"/>
  <c r="CF54" i="52"/>
  <c r="AR54" i="52"/>
  <c r="AL54" i="52"/>
  <c r="AK54" i="52"/>
  <c r="BC99" i="52"/>
  <c r="BC38" i="52"/>
  <c r="BC42" i="52" s="1"/>
  <c r="AX54" i="52"/>
  <c r="AO54" i="52"/>
  <c r="AU54" i="52"/>
  <c r="AM113" i="52"/>
  <c r="AE54" i="52"/>
  <c r="AS54" i="52"/>
  <c r="AM54" i="52"/>
  <c r="AW54" i="52"/>
  <c r="AY54" i="52"/>
  <c r="Y54" i="52"/>
  <c r="AP54" i="52"/>
  <c r="I54" i="52"/>
  <c r="I114" i="52" s="1"/>
  <c r="CE54" i="52"/>
  <c r="AQ113" i="52"/>
  <c r="V61" i="51"/>
  <c r="CO44" i="52"/>
  <c r="BO38" i="52"/>
  <c r="BO42" i="52" s="1"/>
  <c r="BO51" i="52" s="1"/>
  <c r="DO9" i="52"/>
  <c r="J44" i="52"/>
  <c r="AJ24" i="51"/>
  <c r="CO99" i="52"/>
  <c r="CO42" i="52"/>
  <c r="CO51" i="52" s="1"/>
  <c r="CN99" i="52"/>
  <c r="CN42" i="52"/>
  <c r="CN51" i="52" s="1"/>
  <c r="CX38" i="52"/>
  <c r="CX42" i="52" s="1"/>
  <c r="CX51" i="52" s="1"/>
  <c r="AG44" i="52"/>
  <c r="AG46" i="52" s="1"/>
  <c r="AG107" i="52" s="1"/>
  <c r="Y61" i="51"/>
  <c r="Y168" i="51" s="1"/>
  <c r="X61" i="51"/>
  <c r="X168" i="51" s="1"/>
  <c r="U61" i="51"/>
  <c r="U168" i="51" s="1"/>
  <c r="T61" i="51"/>
  <c r="T168" i="51" s="1"/>
  <c r="S61" i="51"/>
  <c r="S168" i="51" s="1"/>
  <c r="E87" i="51"/>
  <c r="E90" i="51" s="1"/>
  <c r="E64" i="51"/>
  <c r="E159" i="51" s="1"/>
  <c r="AD46" i="52"/>
  <c r="AD107" i="52" s="1"/>
  <c r="AA44" i="52"/>
  <c r="AF44" i="52"/>
  <c r="AF46" i="52" s="1"/>
  <c r="AF107" i="52" s="1"/>
  <c r="K46" i="52"/>
  <c r="K107" i="52" s="1"/>
  <c r="X42" i="52"/>
  <c r="X51" i="52" s="1"/>
  <c r="CZ99" i="52"/>
  <c r="EA12" i="52" s="1"/>
  <c r="CZ38" i="52"/>
  <c r="CZ42" i="52" s="1"/>
  <c r="CM43" i="52"/>
  <c r="CM44" i="52"/>
  <c r="K45" i="51"/>
  <c r="K64" i="51" s="1"/>
  <c r="BB99" i="52"/>
  <c r="N44" i="52"/>
  <c r="N46" i="52" s="1"/>
  <c r="M44" i="52"/>
  <c r="AC46" i="52"/>
  <c r="AC107" i="52" s="1"/>
  <c r="M38" i="52"/>
  <c r="M42" i="52" s="1"/>
  <c r="M51" i="52" s="1"/>
  <c r="M110" i="52" s="1"/>
  <c r="BF99" i="52"/>
  <c r="BF46" i="52"/>
  <c r="BF107" i="52" s="1"/>
  <c r="AD169" i="51"/>
  <c r="CM42" i="52"/>
  <c r="CM51" i="52" s="1"/>
  <c r="BB44" i="52"/>
  <c r="CZ44" i="52"/>
  <c r="CZ43" i="52"/>
  <c r="BI99" i="52"/>
  <c r="BI46" i="52"/>
  <c r="BI107" i="52" s="1"/>
  <c r="BI38" i="52"/>
  <c r="BI42" i="52" s="1"/>
  <c r="AF38" i="52"/>
  <c r="AF42" i="52" s="1"/>
  <c r="AF51" i="52" s="1"/>
  <c r="AF99" i="52"/>
  <c r="AH99" i="52"/>
  <c r="AH38" i="52"/>
  <c r="AH42" i="52" s="1"/>
  <c r="AI96" i="52"/>
  <c r="CA42" i="52"/>
  <c r="CA51" i="52" s="1"/>
  <c r="CA106" i="52"/>
  <c r="DU23" i="52" s="1"/>
  <c r="H44" i="52"/>
  <c r="BG96" i="52"/>
  <c r="AI99" i="52"/>
  <c r="AI38" i="52"/>
  <c r="AI42" i="52" s="1"/>
  <c r="AD38" i="52"/>
  <c r="AD42" i="52" s="1"/>
  <c r="AD51" i="52" s="1"/>
  <c r="AD99" i="52"/>
  <c r="AG99" i="52"/>
  <c r="AG38" i="52"/>
  <c r="AG42" i="52" s="1"/>
  <c r="AG51" i="52" s="1"/>
  <c r="BJ99" i="52"/>
  <c r="BJ38" i="52"/>
  <c r="BJ42" i="52" s="1"/>
  <c r="BJ74" i="52" s="1"/>
  <c r="BJ77" i="52" s="1"/>
  <c r="BJ46" i="52"/>
  <c r="BJ107" i="52" s="1"/>
  <c r="BK96" i="52"/>
  <c r="BH99" i="52"/>
  <c r="BH38" i="52"/>
  <c r="BH42" i="52" s="1"/>
  <c r="BE99" i="52"/>
  <c r="BE38" i="52"/>
  <c r="BE42" i="52" s="1"/>
  <c r="BE46" i="52"/>
  <c r="BE107" i="52" s="1"/>
  <c r="BD96" i="52"/>
  <c r="BD99" i="52"/>
  <c r="BD38" i="52"/>
  <c r="BD42" i="52" s="1"/>
  <c r="BD46" i="52"/>
  <c r="BG99" i="52"/>
  <c r="BG38" i="52"/>
  <c r="BG42" i="52" s="1"/>
  <c r="BG46" i="52"/>
  <c r="BG107" i="52" s="1"/>
  <c r="AH96" i="52"/>
  <c r="AH44" i="52"/>
  <c r="BK99" i="52"/>
  <c r="BK38" i="52"/>
  <c r="BK42" i="52" s="1"/>
  <c r="BK46" i="52"/>
  <c r="BK107" i="52" s="1"/>
  <c r="AA38" i="52"/>
  <c r="AA42" i="52" s="1"/>
  <c r="AA51" i="52" s="1"/>
  <c r="H38" i="52"/>
  <c r="H42" i="52" s="1"/>
  <c r="H51" i="52" s="1"/>
  <c r="BF96" i="52"/>
  <c r="BF42" i="52"/>
  <c r="BI96" i="52"/>
  <c r="AI44" i="52"/>
  <c r="AJ99" i="52"/>
  <c r="AJ38" i="52"/>
  <c r="AJ42" i="52" s="1"/>
  <c r="AJ46" i="52"/>
  <c r="AJ107" i="52" s="1"/>
  <c r="BH46" i="52"/>
  <c r="BH107" i="52" s="1"/>
  <c r="DO17" i="52"/>
  <c r="G44" i="52"/>
  <c r="G38" i="52"/>
  <c r="G106" i="52" s="1"/>
  <c r="DL17" i="52"/>
  <c r="AC38" i="52"/>
  <c r="AC42" i="52" s="1"/>
  <c r="AC51" i="52" s="1"/>
  <c r="AC99" i="52"/>
  <c r="K99" i="52"/>
  <c r="K38" i="52"/>
  <c r="K42" i="52" s="1"/>
  <c r="K51" i="52" s="1"/>
  <c r="K110" i="52" s="1"/>
  <c r="AB44" i="52"/>
  <c r="AB46" i="52" s="1"/>
  <c r="AB107" i="52" s="1"/>
  <c r="O44" i="52"/>
  <c r="O46" i="52" s="1"/>
  <c r="CK106" i="52"/>
  <c r="DX23" i="52" s="1"/>
  <c r="N96" i="52"/>
  <c r="AB38" i="52"/>
  <c r="AB42" i="52" s="1"/>
  <c r="AB51" i="52" s="1"/>
  <c r="AB99" i="52"/>
  <c r="L38" i="52"/>
  <c r="L42" i="52" s="1"/>
  <c r="L51" i="52" s="1"/>
  <c r="L99" i="52"/>
  <c r="E44" i="52"/>
  <c r="E38" i="52"/>
  <c r="E42" i="52" s="1"/>
  <c r="E51" i="52" s="1"/>
  <c r="L44" i="52"/>
  <c r="O99" i="52"/>
  <c r="O38" i="52"/>
  <c r="O42" i="52" s="1"/>
  <c r="N99" i="52"/>
  <c r="N38" i="52"/>
  <c r="N42" i="52" s="1"/>
  <c r="O96" i="52"/>
  <c r="CY42" i="52"/>
  <c r="CY51" i="52" s="1"/>
  <c r="C54" i="52"/>
  <c r="BR42" i="52"/>
  <c r="G38" i="51"/>
  <c r="G45" i="51" s="1"/>
  <c r="G69" i="51"/>
  <c r="BP42" i="52"/>
  <c r="S42" i="52"/>
  <c r="S51" i="52" s="1"/>
  <c r="S110" i="52" s="1"/>
  <c r="CK42" i="52"/>
  <c r="CK51" i="52" s="1"/>
  <c r="CL42" i="52"/>
  <c r="CL51" i="52" s="1"/>
  <c r="CX106" i="52"/>
  <c r="EA23" i="52" s="1"/>
  <c r="Z42" i="52"/>
  <c r="Z51" i="52" s="1"/>
  <c r="BB42" i="52"/>
  <c r="BB51" i="52" s="1"/>
  <c r="BQ42" i="52"/>
  <c r="T42" i="52"/>
  <c r="M96" i="52"/>
  <c r="T96" i="52"/>
  <c r="CO96" i="52"/>
  <c r="AF96" i="52"/>
  <c r="AD96" i="52"/>
  <c r="CP96" i="52"/>
  <c r="BB96" i="52"/>
  <c r="X97" i="52"/>
  <c r="L96" i="52"/>
  <c r="BL53" i="52"/>
  <c r="BL111" i="52" s="1"/>
  <c r="BL113" i="52" s="1"/>
  <c r="CA96" i="52"/>
  <c r="CQ96" i="52"/>
  <c r="BL74" i="52"/>
  <c r="AC96" i="52"/>
  <c r="BL45" i="52"/>
  <c r="BL48" i="52" s="1"/>
  <c r="BL55" i="52" s="1"/>
  <c r="S96" i="52"/>
  <c r="J96" i="52"/>
  <c r="BR96" i="52"/>
  <c r="AG96" i="52"/>
  <c r="K96" i="52"/>
  <c r="CB96" i="52"/>
  <c r="BX96" i="52"/>
  <c r="CT113" i="52"/>
  <c r="DB113" i="52"/>
  <c r="DA113" i="52"/>
  <c r="CS113" i="52"/>
  <c r="BU113" i="52"/>
  <c r="CC113" i="52"/>
  <c r="CH113" i="52"/>
  <c r="CU113" i="52"/>
  <c r="R113" i="52"/>
  <c r="BS113" i="52"/>
  <c r="BT113" i="52"/>
  <c r="U113" i="52"/>
  <c r="Q113" i="52"/>
  <c r="X46" i="52"/>
  <c r="X75" i="52" s="1"/>
  <c r="D45" i="52"/>
  <c r="D48" i="52" s="1"/>
  <c r="D55" i="52" s="1"/>
  <c r="CN46" i="52"/>
  <c r="CN107" i="52" s="1"/>
  <c r="CC75" i="52"/>
  <c r="Q75" i="52"/>
  <c r="AA48" i="51"/>
  <c r="V46" i="51"/>
  <c r="V45" i="51"/>
  <c r="V64" i="51" s="1"/>
  <c r="X45" i="51"/>
  <c r="X46" i="51"/>
  <c r="X48" i="51" s="1"/>
  <c r="N46" i="51"/>
  <c r="N48" i="51" s="1"/>
  <c r="N49" i="51" s="1"/>
  <c r="R45" i="51"/>
  <c r="R64" i="51" s="1"/>
  <c r="R46" i="51"/>
  <c r="R48" i="51" s="1"/>
  <c r="Z61" i="51"/>
  <c r="Z168" i="51" s="1"/>
  <c r="Z45" i="51"/>
  <c r="Z46" i="51"/>
  <c r="J45" i="51"/>
  <c r="J64" i="51" s="1"/>
  <c r="J46" i="51"/>
  <c r="J48" i="51" s="1"/>
  <c r="J49" i="51" s="1"/>
  <c r="O46" i="51"/>
  <c r="O48" i="51" s="1"/>
  <c r="O53" i="51" s="1"/>
  <c r="O45" i="51"/>
  <c r="O64" i="51" s="1"/>
  <c r="Y45" i="51"/>
  <c r="Y46" i="51"/>
  <c r="AA46" i="51"/>
  <c r="S46" i="51"/>
  <c r="S45" i="51"/>
  <c r="S64" i="51" s="1"/>
  <c r="U46" i="51"/>
  <c r="U48" i="51" s="1"/>
  <c r="U45" i="51"/>
  <c r="U64" i="51" s="1"/>
  <c r="AB48" i="51"/>
  <c r="AB53" i="51" s="1"/>
  <c r="AB153" i="51" s="1"/>
  <c r="AB46" i="51"/>
  <c r="K46" i="51"/>
  <c r="K48" i="51" s="1"/>
  <c r="Q45" i="51"/>
  <c r="Q64" i="51" s="1"/>
  <c r="Q46" i="51"/>
  <c r="Q48" i="51" s="1"/>
  <c r="T46" i="51"/>
  <c r="T45" i="51"/>
  <c r="M46" i="51"/>
  <c r="M48" i="51" s="1"/>
  <c r="M53" i="51" s="1"/>
  <c r="M45" i="51"/>
  <c r="M64" i="51" s="1"/>
  <c r="CU75" i="52"/>
  <c r="CB46" i="52"/>
  <c r="CB107" i="52" s="1"/>
  <c r="CK46" i="52"/>
  <c r="CK107" i="52" s="1"/>
  <c r="CO46" i="52"/>
  <c r="CO107" i="52" s="1"/>
  <c r="S46" i="52"/>
  <c r="S107" i="52" s="1"/>
  <c r="CA46" i="52"/>
  <c r="CA107" i="52" s="1"/>
  <c r="BZ45" i="52"/>
  <c r="CX46" i="52"/>
  <c r="CX107" i="52" s="1"/>
  <c r="CQ46" i="52"/>
  <c r="CQ107" i="52" s="1"/>
  <c r="CR46" i="52"/>
  <c r="CR107" i="52" s="1"/>
  <c r="CP46" i="52"/>
  <c r="CP107" i="52" s="1"/>
  <c r="CI45" i="52"/>
  <c r="CW45" i="52"/>
  <c r="BY45" i="52"/>
  <c r="CJ45" i="52"/>
  <c r="BA45" i="52"/>
  <c r="BM45" i="52"/>
  <c r="W45" i="52"/>
  <c r="DC45" i="52"/>
  <c r="Q48" i="52"/>
  <c r="Q55" i="52" s="1"/>
  <c r="BN45" i="52"/>
  <c r="DB75" i="52"/>
  <c r="DD45" i="52"/>
  <c r="CV45" i="52"/>
  <c r="V45" i="52"/>
  <c r="AZ45" i="52"/>
  <c r="DA75" i="52"/>
  <c r="AB38" i="51"/>
  <c r="AB118" i="51"/>
  <c r="CC48" i="52"/>
  <c r="CC55" i="52" s="1"/>
  <c r="CU48" i="52"/>
  <c r="CU55" i="52" s="1"/>
  <c r="P107" i="52"/>
  <c r="P113" i="52" s="1"/>
  <c r="P75" i="52"/>
  <c r="CS75" i="52"/>
  <c r="D75" i="52"/>
  <c r="CS48" i="52"/>
  <c r="CS55" i="52" s="1"/>
  <c r="R48" i="52"/>
  <c r="R55" i="52" s="1"/>
  <c r="U48" i="52"/>
  <c r="U55" i="52" s="1"/>
  <c r="DB48" i="52"/>
  <c r="DB55" i="52" s="1"/>
  <c r="CT48" i="52"/>
  <c r="CT55" i="52" s="1"/>
  <c r="BS48" i="52"/>
  <c r="BS55" i="52" s="1"/>
  <c r="BT48" i="52"/>
  <c r="BT55" i="52" s="1"/>
  <c r="DA48" i="52"/>
  <c r="DA55" i="52" s="1"/>
  <c r="P48" i="52"/>
  <c r="P55" i="52" s="1"/>
  <c r="CH48" i="52"/>
  <c r="CH55" i="52" s="1"/>
  <c r="BU48" i="52"/>
  <c r="BU55" i="52" s="1"/>
  <c r="V48" i="51"/>
  <c r="CH75" i="52"/>
  <c r="Y48" i="51"/>
  <c r="S48" i="51"/>
  <c r="T48" i="51"/>
  <c r="T46" i="52"/>
  <c r="T107" i="52" s="1"/>
  <c r="AC49" i="51"/>
  <c r="R75" i="52"/>
  <c r="Z48" i="51"/>
  <c r="AA49" i="51"/>
  <c r="AA61" i="51"/>
  <c r="AA168" i="51" s="1"/>
  <c r="AC61" i="51"/>
  <c r="AC168" i="51" s="1"/>
  <c r="E50" i="51"/>
  <c r="E53" i="51"/>
  <c r="CL46" i="52"/>
  <c r="CL107" i="52" s="1"/>
  <c r="O61" i="51"/>
  <c r="O168" i="51" s="1"/>
  <c r="R61" i="51"/>
  <c r="R168" i="51" s="1"/>
  <c r="Q61" i="51"/>
  <c r="Q168" i="51" s="1"/>
  <c r="P61" i="51"/>
  <c r="P168" i="51" s="1"/>
  <c r="N61" i="51"/>
  <c r="N168" i="51" s="1"/>
  <c r="M61" i="51"/>
  <c r="M168" i="51" s="1"/>
  <c r="L61" i="51"/>
  <c r="L168" i="51" s="1"/>
  <c r="K61" i="51"/>
  <c r="K168" i="51" s="1"/>
  <c r="U75" i="52"/>
  <c r="BO46" i="52"/>
  <c r="P107" i="51"/>
  <c r="U107" i="51"/>
  <c r="Y107" i="51"/>
  <c r="K107" i="51"/>
  <c r="G61" i="51"/>
  <c r="G168" i="51" s="1"/>
  <c r="T107" i="51"/>
  <c r="M107" i="51"/>
  <c r="E107" i="51"/>
  <c r="H61" i="51"/>
  <c r="H168" i="51" s="1"/>
  <c r="I61" i="51"/>
  <c r="I168" i="51" s="1"/>
  <c r="J61" i="51"/>
  <c r="J168" i="51" s="1"/>
  <c r="AA107" i="51"/>
  <c r="BU75" i="52"/>
  <c r="BX46" i="52"/>
  <c r="BX107" i="52" s="1"/>
  <c r="CT75" i="52"/>
  <c r="BV75" i="52"/>
  <c r="CI48" i="52"/>
  <c r="BA48" i="52"/>
  <c r="BP46" i="52"/>
  <c r="BP107" i="52" s="1"/>
  <c r="BM48" i="52"/>
  <c r="BP96" i="52"/>
  <c r="BY113" i="52"/>
  <c r="CJ48" i="52"/>
  <c r="CJ113" i="52"/>
  <c r="W48" i="52"/>
  <c r="W113" i="52"/>
  <c r="BY48" i="52"/>
  <c r="BY55" i="52" s="1"/>
  <c r="V48" i="52"/>
  <c r="V113" i="52"/>
  <c r="DD48" i="52"/>
  <c r="DD113" i="52"/>
  <c r="CV48" i="52"/>
  <c r="AE153" i="51"/>
  <c r="AE169" i="51" s="1"/>
  <c r="BS75" i="52"/>
  <c r="BQ46" i="52"/>
  <c r="BQ107" i="52" s="1"/>
  <c r="BN48" i="52"/>
  <c r="AZ48" i="52"/>
  <c r="AZ113" i="52"/>
  <c r="BR46" i="52"/>
  <c r="BR107" i="52" s="1"/>
  <c r="BQ96" i="52"/>
  <c r="CW48" i="52"/>
  <c r="BZ48" i="52"/>
  <c r="BZ55" i="52" s="1"/>
  <c r="BZ113" i="52"/>
  <c r="BT75" i="52"/>
  <c r="BO96" i="52"/>
  <c r="DC48" i="52"/>
  <c r="DC55" i="52" s="1"/>
  <c r="Z46" i="52"/>
  <c r="Z107" i="52" s="1"/>
  <c r="Z97" i="52"/>
  <c r="C111" i="52"/>
  <c r="C113" i="52" s="1"/>
  <c r="H118" i="51"/>
  <c r="G118" i="51"/>
  <c r="P38" i="51"/>
  <c r="AC38" i="51"/>
  <c r="AA38" i="51"/>
  <c r="AA159" i="51" s="1"/>
  <c r="I38" i="51"/>
  <c r="I47" i="51" s="1"/>
  <c r="N38" i="51"/>
  <c r="N45" i="51" s="1"/>
  <c r="N64" i="51" s="1"/>
  <c r="L38" i="51"/>
  <c r="H38" i="51"/>
  <c r="H46" i="51" s="1"/>
  <c r="H48" i="51" s="1"/>
  <c r="E66" i="51"/>
  <c r="E161" i="51" s="1"/>
  <c r="CB110" i="52"/>
  <c r="D110" i="52"/>
  <c r="D53" i="52"/>
  <c r="D111" i="52" s="1"/>
  <c r="CQ110" i="52"/>
  <c r="CQ74" i="52"/>
  <c r="CQ79" i="52" s="1" a="1"/>
  <c r="CQ79" i="52" s="1"/>
  <c r="V168" i="51"/>
  <c r="CR96" i="52"/>
  <c r="CN96" i="52"/>
  <c r="CL96" i="52"/>
  <c r="H96" i="52"/>
  <c r="W118" i="51"/>
  <c r="AJ43" i="51"/>
  <c r="AJ22" i="51"/>
  <c r="G96" i="52"/>
  <c r="S118" i="51"/>
  <c r="AJ18" i="51"/>
  <c r="Q118" i="51"/>
  <c r="CY75" i="52"/>
  <c r="U118" i="51"/>
  <c r="AA96" i="52"/>
  <c r="X118" i="51"/>
  <c r="E96" i="52"/>
  <c r="M118" i="51"/>
  <c r="CY96" i="52"/>
  <c r="AB96" i="52"/>
  <c r="J118" i="51"/>
  <c r="AD50" i="51"/>
  <c r="AD55" i="51" s="1"/>
  <c r="AD68" i="51" s="1"/>
  <c r="CV113" i="52"/>
  <c r="AC118" i="51"/>
  <c r="AA118" i="51"/>
  <c r="O118" i="51"/>
  <c r="V118" i="51"/>
  <c r="Z118" i="51"/>
  <c r="CM96" i="52"/>
  <c r="CI113" i="52"/>
  <c r="Y118" i="51"/>
  <c r="CK96" i="52"/>
  <c r="R118" i="51"/>
  <c r="CX96" i="52"/>
  <c r="K118" i="51"/>
  <c r="BM113" i="52"/>
  <c r="L118" i="51"/>
  <c r="D74" i="52"/>
  <c r="D77" i="52" s="1"/>
  <c r="DC113" i="52"/>
  <c r="BN113" i="52"/>
  <c r="CW113" i="52"/>
  <c r="T118" i="51"/>
  <c r="BA113" i="52"/>
  <c r="AE50" i="51"/>
  <c r="AE55" i="51" s="1"/>
  <c r="I45" i="51" l="1"/>
  <c r="I64" i="51" s="1"/>
  <c r="H47" i="51"/>
  <c r="H49" i="51" s="1"/>
  <c r="H53" i="51" s="1"/>
  <c r="AN51" i="52"/>
  <c r="AN110" i="52" s="1"/>
  <c r="AN74" i="52"/>
  <c r="AN77" i="52" s="1"/>
  <c r="AN45" i="52"/>
  <c r="AN48" i="52" s="1"/>
  <c r="AN53" i="52"/>
  <c r="AN111" i="52" s="1"/>
  <c r="AV45" i="52"/>
  <c r="AV48" i="52" s="1"/>
  <c r="AV74" i="52"/>
  <c r="AV77" i="52" s="1"/>
  <c r="AV51" i="52"/>
  <c r="AV110" i="52" s="1"/>
  <c r="AV53" i="52"/>
  <c r="AV111" i="52" s="1"/>
  <c r="AV107" i="52"/>
  <c r="AV75" i="52"/>
  <c r="BW75" i="52"/>
  <c r="AR55" i="52"/>
  <c r="CE114" i="52"/>
  <c r="CF114" i="52"/>
  <c r="CG114" i="52"/>
  <c r="BW51" i="52"/>
  <c r="BW110" i="52" s="1"/>
  <c r="BW45" i="52"/>
  <c r="BW48" i="52" s="1"/>
  <c r="BW74" i="52"/>
  <c r="BW77" i="52" s="1"/>
  <c r="BW53" i="52"/>
  <c r="BW111" i="52" s="1"/>
  <c r="BV51" i="52"/>
  <c r="BV110" i="52" s="1"/>
  <c r="BV45" i="52"/>
  <c r="BV48" i="52" s="1"/>
  <c r="BV74" i="52"/>
  <c r="BV77" i="52" s="1"/>
  <c r="BV53" i="52"/>
  <c r="BV111" i="52" s="1"/>
  <c r="F45" i="52"/>
  <c r="F48" i="52" s="1"/>
  <c r="F83" i="52" s="1"/>
  <c r="F107" i="52"/>
  <c r="F75" i="52"/>
  <c r="F51" i="52"/>
  <c r="F110" i="52" s="1"/>
  <c r="F53" i="52"/>
  <c r="F111" i="52" s="1"/>
  <c r="F74" i="52"/>
  <c r="F77" i="52" s="1"/>
  <c r="CD114" i="52"/>
  <c r="AE120" i="52"/>
  <c r="AE114" i="52"/>
  <c r="BC45" i="52"/>
  <c r="BC48" i="52" s="1"/>
  <c r="BC55" i="52" s="1"/>
  <c r="BC53" i="52"/>
  <c r="BC111" i="52" s="1"/>
  <c r="BC113" i="52" s="1"/>
  <c r="BC74" i="52"/>
  <c r="AW120" i="52"/>
  <c r="AW114" i="52"/>
  <c r="AU120" i="52"/>
  <c r="AU114" i="52"/>
  <c r="AK114" i="52"/>
  <c r="AK120" i="52"/>
  <c r="AP114" i="52"/>
  <c r="AP120" i="52"/>
  <c r="AM114" i="52"/>
  <c r="AM120" i="52"/>
  <c r="AO114" i="52"/>
  <c r="AO120" i="52"/>
  <c r="AS114" i="52"/>
  <c r="AS120" i="52"/>
  <c r="AT120" i="52"/>
  <c r="AT114" i="52"/>
  <c r="Y120" i="52"/>
  <c r="Y114" i="52"/>
  <c r="AX120" i="52"/>
  <c r="AX114" i="52"/>
  <c r="AL114" i="52"/>
  <c r="AL120" i="52"/>
  <c r="AQ114" i="52"/>
  <c r="AQ120" i="52"/>
  <c r="AY114" i="52"/>
  <c r="AY120" i="52"/>
  <c r="AR120" i="52"/>
  <c r="AR114" i="52"/>
  <c r="J99" i="52"/>
  <c r="DL12" i="52" s="1"/>
  <c r="J38" i="52"/>
  <c r="J46" i="52" s="1"/>
  <c r="J107" i="52" s="1"/>
  <c r="BB46" i="52"/>
  <c r="BB107" i="52" s="1"/>
  <c r="DX12" i="52"/>
  <c r="Z87" i="51"/>
  <c r="Z90" i="51" s="1"/>
  <c r="Z64" i="51"/>
  <c r="Z159" i="51" s="1"/>
  <c r="M46" i="52"/>
  <c r="M107" i="52" s="1"/>
  <c r="AA46" i="52"/>
  <c r="AA107" i="52" s="1"/>
  <c r="Y87" i="51"/>
  <c r="Y90" i="51" s="1"/>
  <c r="Y64" i="51"/>
  <c r="Y159" i="51" s="1"/>
  <c r="T87" i="51"/>
  <c r="T90" i="51" s="1"/>
  <c r="T64" i="51"/>
  <c r="T159" i="51" s="1"/>
  <c r="P45" i="51"/>
  <c r="P64" i="51" s="1"/>
  <c r="P159" i="51" s="1"/>
  <c r="P151" i="51"/>
  <c r="P46" i="51"/>
  <c r="P48" i="51" s="1"/>
  <c r="P53" i="51" s="1"/>
  <c r="P153" i="51" s="1"/>
  <c r="H45" i="51"/>
  <c r="H64" i="51" s="1"/>
  <c r="H159" i="51" s="1"/>
  <c r="H151" i="51"/>
  <c r="AJ75" i="52"/>
  <c r="H46" i="52"/>
  <c r="H107" i="52" s="1"/>
  <c r="BJ75" i="52"/>
  <c r="BK75" i="52"/>
  <c r="BI75" i="52"/>
  <c r="BG75" i="52"/>
  <c r="BF53" i="52"/>
  <c r="BF111" i="52" s="1"/>
  <c r="E46" i="52"/>
  <c r="E107" i="52" s="1"/>
  <c r="DO12" i="52"/>
  <c r="BH75" i="52"/>
  <c r="AH53" i="52"/>
  <c r="AH111" i="52" s="1"/>
  <c r="CZ46" i="52"/>
  <c r="CZ107" i="52" s="1"/>
  <c r="EA16" i="52" s="1"/>
  <c r="BF75" i="52"/>
  <c r="G46" i="52"/>
  <c r="G107" i="52" s="1"/>
  <c r="CM46" i="52"/>
  <c r="CM107" i="52" s="1"/>
  <c r="DX16" i="52" s="1"/>
  <c r="BD74" i="52"/>
  <c r="BD77" i="52" s="1"/>
  <c r="BD45" i="52"/>
  <c r="BD48" i="52" s="1"/>
  <c r="BD55" i="52" s="1"/>
  <c r="N107" i="52"/>
  <c r="N75" i="52"/>
  <c r="G42" i="52"/>
  <c r="BE75" i="52"/>
  <c r="K50" i="51"/>
  <c r="DR8" i="52"/>
  <c r="J106" i="52"/>
  <c r="DL23" i="52" s="1"/>
  <c r="DR13" i="52"/>
  <c r="BK51" i="52"/>
  <c r="BK110" i="52" s="1"/>
  <c r="BK53" i="52"/>
  <c r="BK111" i="52" s="1"/>
  <c r="BK74" i="52"/>
  <c r="BK77" i="52" s="1"/>
  <c r="BK45" i="52"/>
  <c r="BK48" i="52" s="1"/>
  <c r="BK55" i="52" s="1"/>
  <c r="AI51" i="52"/>
  <c r="AI110" i="52" s="1"/>
  <c r="AI53" i="52"/>
  <c r="AI111" i="52" s="1"/>
  <c r="AI74" i="52"/>
  <c r="AI77" i="52" s="1"/>
  <c r="AI45" i="52"/>
  <c r="BG51" i="52"/>
  <c r="BG110" i="52" s="1"/>
  <c r="BG74" i="52"/>
  <c r="BG77" i="52" s="1"/>
  <c r="BG45" i="52"/>
  <c r="BG48" i="52" s="1"/>
  <c r="BG55" i="52" s="1"/>
  <c r="BG53" i="52"/>
  <c r="BG111" i="52" s="1"/>
  <c r="BF51" i="52"/>
  <c r="BF110" i="52" s="1"/>
  <c r="BF74" i="52"/>
  <c r="BF77" i="52" s="1"/>
  <c r="BF45" i="52"/>
  <c r="BF48" i="52" s="1"/>
  <c r="BF55" i="52" s="1"/>
  <c r="AH51" i="52"/>
  <c r="AH110" i="52" s="1"/>
  <c r="AH74" i="52"/>
  <c r="AH77" i="52" s="1"/>
  <c r="AH45" i="52"/>
  <c r="BD51" i="52"/>
  <c r="BD110" i="52" s="1"/>
  <c r="BD53" i="52"/>
  <c r="BD111" i="52" s="1"/>
  <c r="AI46" i="52"/>
  <c r="BJ51" i="52"/>
  <c r="BJ110" i="52" s="1"/>
  <c r="BJ45" i="52"/>
  <c r="BJ48" i="52" s="1"/>
  <c r="BJ55" i="52" s="1"/>
  <c r="BJ53" i="52"/>
  <c r="BJ111" i="52" s="1"/>
  <c r="AJ51" i="52"/>
  <c r="AJ110" i="52" s="1"/>
  <c r="AJ74" i="52"/>
  <c r="AJ77" i="52" s="1"/>
  <c r="AJ53" i="52"/>
  <c r="AJ111" i="52" s="1"/>
  <c r="AJ45" i="52"/>
  <c r="AJ48" i="52" s="1"/>
  <c r="AJ55" i="52" s="1"/>
  <c r="BE51" i="52"/>
  <c r="BE110" i="52" s="1"/>
  <c r="BE74" i="52"/>
  <c r="BE77" i="52" s="1"/>
  <c r="BE45" i="52"/>
  <c r="BE48" i="52" s="1"/>
  <c r="BE55" i="52" s="1"/>
  <c r="BE53" i="52"/>
  <c r="BE111" i="52" s="1"/>
  <c r="BD107" i="52"/>
  <c r="BD75" i="52"/>
  <c r="BH51" i="52"/>
  <c r="BH110" i="52" s="1"/>
  <c r="BH74" i="52"/>
  <c r="BH77" i="52" s="1"/>
  <c r="BH45" i="52"/>
  <c r="BH48" i="52" s="1"/>
  <c r="BH55" i="52" s="1"/>
  <c r="BH53" i="52"/>
  <c r="BH111" i="52" s="1"/>
  <c r="AH46" i="52"/>
  <c r="BI51" i="52"/>
  <c r="BI110" i="52" s="1"/>
  <c r="BI53" i="52"/>
  <c r="BI111" i="52" s="1"/>
  <c r="BI74" i="52"/>
  <c r="BI77" i="52" s="1"/>
  <c r="BI45" i="52"/>
  <c r="BI48" i="52" s="1"/>
  <c r="BI55" i="52" s="1"/>
  <c r="CZ51" i="52"/>
  <c r="CZ110" i="52" s="1"/>
  <c r="CZ45" i="52"/>
  <c r="CZ74" i="52"/>
  <c r="CZ77" i="52" s="1"/>
  <c r="CZ53" i="52"/>
  <c r="CZ111" i="52" s="1"/>
  <c r="L46" i="52"/>
  <c r="N51" i="52"/>
  <c r="N110" i="52" s="1"/>
  <c r="N74" i="52"/>
  <c r="N77" i="52" s="1"/>
  <c r="N53" i="52"/>
  <c r="N111" i="52" s="1"/>
  <c r="N45" i="52"/>
  <c r="N48" i="52" s="1"/>
  <c r="N55" i="52" s="1"/>
  <c r="O107" i="52"/>
  <c r="O75" i="52"/>
  <c r="O51" i="52"/>
  <c r="O110" i="52" s="1"/>
  <c r="O45" i="52"/>
  <c r="O48" i="52" s="1"/>
  <c r="O55" i="52" s="1"/>
  <c r="O74" i="52"/>
  <c r="O77" i="52" s="1"/>
  <c r="O53" i="52"/>
  <c r="O111" i="52" s="1"/>
  <c r="T45" i="52"/>
  <c r="T48" i="52" s="1"/>
  <c r="T55" i="52" s="1"/>
  <c r="T51" i="52"/>
  <c r="T110" i="52" s="1"/>
  <c r="AG75" i="52"/>
  <c r="CH54" i="52"/>
  <c r="CH114" i="52" s="1"/>
  <c r="CT54" i="52"/>
  <c r="CT114" i="52" s="1"/>
  <c r="CU54" i="52"/>
  <c r="CU114" i="52" s="1"/>
  <c r="BU54" i="52"/>
  <c r="BU114" i="52" s="1"/>
  <c r="DB54" i="52"/>
  <c r="DB114" i="52" s="1"/>
  <c r="Q54" i="52"/>
  <c r="Q114" i="52" s="1"/>
  <c r="P54" i="52"/>
  <c r="P114" i="52" s="1"/>
  <c r="U54" i="52"/>
  <c r="U114" i="52" s="1"/>
  <c r="CC54" i="52"/>
  <c r="CC114" i="52" s="1"/>
  <c r="DA54" i="52"/>
  <c r="DA114" i="52" s="1"/>
  <c r="R54" i="52"/>
  <c r="R114" i="52" s="1"/>
  <c r="BT54" i="52"/>
  <c r="BT114" i="52" s="1"/>
  <c r="CS54" i="52"/>
  <c r="CS114" i="52" s="1"/>
  <c r="BL54" i="52"/>
  <c r="BL114" i="52" s="1"/>
  <c r="BS54" i="52"/>
  <c r="BS114" i="52" s="1"/>
  <c r="D54" i="52"/>
  <c r="AA53" i="51"/>
  <c r="AA153" i="51" s="1"/>
  <c r="DU8" i="52"/>
  <c r="DO8" i="52"/>
  <c r="K53" i="51"/>
  <c r="I151" i="51"/>
  <c r="AC75" i="52"/>
  <c r="CB75" i="52"/>
  <c r="CX75" i="52"/>
  <c r="CO75" i="52"/>
  <c r="CN75" i="52"/>
  <c r="CK75" i="52"/>
  <c r="CP75" i="52"/>
  <c r="CA75" i="52"/>
  <c r="CA79" i="52" s="1" a="1"/>
  <c r="CA79" i="52" s="1"/>
  <c r="K75" i="52"/>
  <c r="AZ54" i="52"/>
  <c r="AZ55" i="52"/>
  <c r="AZ83" i="52" s="1"/>
  <c r="CJ54" i="52"/>
  <c r="CJ81" i="52" s="1"/>
  <c r="CJ55" i="52"/>
  <c r="CJ83" i="52" s="1"/>
  <c r="CI54" i="52"/>
  <c r="CI55" i="52"/>
  <c r="CI83" i="52" s="1"/>
  <c r="CW54" i="52"/>
  <c r="CW55" i="52"/>
  <c r="CW83" i="52" s="1"/>
  <c r="DC54" i="52"/>
  <c r="DC81" i="52" s="1"/>
  <c r="DC83" i="52"/>
  <c r="BN54" i="52"/>
  <c r="BN55" i="52"/>
  <c r="BN83" i="52" s="1"/>
  <c r="V54" i="52"/>
  <c r="V81" i="52" s="1"/>
  <c r="V55" i="52"/>
  <c r="V83" i="52" s="1"/>
  <c r="CV54" i="52"/>
  <c r="CV81" i="52" s="1"/>
  <c r="CV55" i="52"/>
  <c r="CV83" i="52" s="1"/>
  <c r="BM54" i="52"/>
  <c r="BM55" i="52"/>
  <c r="BM83" i="52" s="1"/>
  <c r="W54" i="52"/>
  <c r="W114" i="52" s="1"/>
  <c r="W55" i="52"/>
  <c r="W83" i="52" s="1"/>
  <c r="DD54" i="52"/>
  <c r="DD81" i="52" s="1"/>
  <c r="DD55" i="52"/>
  <c r="DD83" i="52" s="1"/>
  <c r="BA54" i="52"/>
  <c r="BA120" i="52" s="1"/>
  <c r="BA55" i="52"/>
  <c r="BA83" i="52" s="1"/>
  <c r="X107" i="52"/>
  <c r="CK45" i="52"/>
  <c r="CK48" i="52" s="1"/>
  <c r="CX45" i="52"/>
  <c r="CX48" i="52" s="1"/>
  <c r="BB45" i="52"/>
  <c r="CP45" i="52"/>
  <c r="CP48" i="52" s="1"/>
  <c r="CP55" i="52" s="1"/>
  <c r="BQ45" i="52"/>
  <c r="BQ48" i="52" s="1"/>
  <c r="BQ55" i="52" s="1"/>
  <c r="BP45" i="52"/>
  <c r="BP48" i="52" s="1"/>
  <c r="BP55" i="52" s="1"/>
  <c r="CY45" i="52"/>
  <c r="CY48" i="52" s="1"/>
  <c r="CM45" i="52"/>
  <c r="AF45" i="52"/>
  <c r="AF48" i="52" s="1"/>
  <c r="AF55" i="52" s="1"/>
  <c r="BR45" i="52"/>
  <c r="BR48" i="52" s="1"/>
  <c r="BR55" i="52" s="1"/>
  <c r="CO45" i="52"/>
  <c r="CO48" i="52" s="1"/>
  <c r="CO55" i="52" s="1"/>
  <c r="CL45" i="52"/>
  <c r="CL48" i="52" s="1"/>
  <c r="BO45" i="52"/>
  <c r="BO48" i="52" s="1"/>
  <c r="BO55" i="52" s="1"/>
  <c r="CQ53" i="52"/>
  <c r="CQ111" i="52" s="1"/>
  <c r="AG45" i="52"/>
  <c r="AG48" i="52" s="1"/>
  <c r="AG55" i="52" s="1"/>
  <c r="BX45" i="52"/>
  <c r="BX48" i="52" s="1"/>
  <c r="CN45" i="52"/>
  <c r="CN48" i="52" s="1"/>
  <c r="CN55" i="52" s="1"/>
  <c r="CR45" i="52"/>
  <c r="CR48" i="52" s="1"/>
  <c r="CR55" i="52" s="1"/>
  <c r="CB45" i="52"/>
  <c r="CB48" i="52" s="1"/>
  <c r="CB55" i="52" s="1"/>
  <c r="CA45" i="52"/>
  <c r="CA48" i="52" s="1"/>
  <c r="AD45" i="52"/>
  <c r="AD48" i="52" s="1"/>
  <c r="T74" i="52"/>
  <c r="T77" i="52" s="1"/>
  <c r="AA45" i="52"/>
  <c r="AC45" i="52"/>
  <c r="AC48" i="52" s="1"/>
  <c r="X45" i="52"/>
  <c r="X48" i="52" s="1"/>
  <c r="M45" i="52"/>
  <c r="AB45" i="52"/>
  <c r="AB48" i="52" s="1"/>
  <c r="AB81" i="52" s="1"/>
  <c r="L45" i="52"/>
  <c r="T53" i="52"/>
  <c r="T111" i="52" s="1"/>
  <c r="K45" i="52"/>
  <c r="K48" i="52" s="1"/>
  <c r="K55" i="52" s="1"/>
  <c r="H45" i="52"/>
  <c r="S75" i="52"/>
  <c r="AC45" i="51"/>
  <c r="AC50" i="51" s="1"/>
  <c r="E55" i="51"/>
  <c r="E68" i="51" s="1"/>
  <c r="L45" i="51"/>
  <c r="CQ75" i="52"/>
  <c r="I46" i="51"/>
  <c r="I48" i="51" s="1"/>
  <c r="AA45" i="51"/>
  <c r="AA66" i="51" s="1"/>
  <c r="AA161" i="51" s="1"/>
  <c r="AB45" i="51"/>
  <c r="AB66" i="51" s="1"/>
  <c r="AB161" i="51" s="1"/>
  <c r="C48" i="51"/>
  <c r="C66" i="51" s="1"/>
  <c r="CR75" i="52"/>
  <c r="CA74" i="52"/>
  <c r="CA77" i="52" s="1"/>
  <c r="CA53" i="52"/>
  <c r="CA111" i="52" s="1"/>
  <c r="CQ45" i="52"/>
  <c r="CQ48" i="52" s="1"/>
  <c r="CQ55" i="52" s="1"/>
  <c r="AF75" i="52"/>
  <c r="S53" i="52"/>
  <c r="S111" i="52" s="1"/>
  <c r="S45" i="52"/>
  <c r="S48" i="52" s="1"/>
  <c r="S55" i="52" s="1"/>
  <c r="S74" i="52"/>
  <c r="S77" i="52" s="1"/>
  <c r="M74" i="52"/>
  <c r="M77" i="52" s="1"/>
  <c r="M53" i="52"/>
  <c r="M111" i="52" s="1"/>
  <c r="AB75" i="52"/>
  <c r="CB53" i="52"/>
  <c r="CB111" i="52" s="1"/>
  <c r="BO75" i="52"/>
  <c r="BO107" i="52"/>
  <c r="AD75" i="52"/>
  <c r="Z53" i="52"/>
  <c r="Z111" i="52" s="1"/>
  <c r="Z45" i="52"/>
  <c r="Z48" i="52" s="1"/>
  <c r="Z55" i="52" s="1"/>
  <c r="U50" i="51"/>
  <c r="U53" i="51"/>
  <c r="X50" i="51"/>
  <c r="X53" i="51"/>
  <c r="DU16" i="52"/>
  <c r="BX110" i="52"/>
  <c r="V50" i="51"/>
  <c r="V53" i="51"/>
  <c r="CL75" i="52"/>
  <c r="Q53" i="51"/>
  <c r="Q50" i="51"/>
  <c r="R50" i="51"/>
  <c r="R53" i="51"/>
  <c r="T75" i="52"/>
  <c r="M50" i="51"/>
  <c r="T50" i="51"/>
  <c r="T53" i="51"/>
  <c r="S53" i="51"/>
  <c r="S50" i="51"/>
  <c r="Y50" i="51"/>
  <c r="Y53" i="51"/>
  <c r="CB74" i="52"/>
  <c r="CB77" i="52" s="1"/>
  <c r="O50" i="51"/>
  <c r="J53" i="51"/>
  <c r="J50" i="51"/>
  <c r="N53" i="51"/>
  <c r="N153" i="51" s="1"/>
  <c r="N50" i="51"/>
  <c r="CA110" i="52"/>
  <c r="DU19" i="52" s="1"/>
  <c r="AC53" i="51"/>
  <c r="AC153" i="51" s="1"/>
  <c r="Z50" i="51"/>
  <c r="Z53" i="51"/>
  <c r="AB159" i="51"/>
  <c r="AC159" i="51"/>
  <c r="BX75" i="52"/>
  <c r="C114" i="52"/>
  <c r="BX74" i="52"/>
  <c r="BX77" i="52" s="1"/>
  <c r="R107" i="51"/>
  <c r="V107" i="51"/>
  <c r="S107" i="51"/>
  <c r="N107" i="51"/>
  <c r="Z107" i="51"/>
  <c r="Q107" i="51"/>
  <c r="O107" i="51"/>
  <c r="X107" i="51"/>
  <c r="H107" i="51"/>
  <c r="W107" i="51"/>
  <c r="BX53" i="52"/>
  <c r="BX111" i="52" s="1"/>
  <c r="L88" i="51"/>
  <c r="Z75" i="52"/>
  <c r="CR53" i="52"/>
  <c r="CR111" i="52" s="1"/>
  <c r="BQ75" i="52"/>
  <c r="X53" i="52"/>
  <c r="X111" i="52" s="1"/>
  <c r="CP53" i="52"/>
  <c r="CP111" i="52" s="1"/>
  <c r="BR110" i="52"/>
  <c r="BR74" i="52"/>
  <c r="BR53" i="52"/>
  <c r="BR111" i="52" s="1"/>
  <c r="CO53" i="52"/>
  <c r="CO111" i="52" s="1"/>
  <c r="ED8" i="52"/>
  <c r="CQ68" i="52"/>
  <c r="BP74" i="52"/>
  <c r="BP53" i="52"/>
  <c r="BP111" i="52" s="1"/>
  <c r="BP110" i="52"/>
  <c r="BP75" i="52"/>
  <c r="BO74" i="52"/>
  <c r="BO77" i="52" s="1"/>
  <c r="BO53" i="52"/>
  <c r="BO111" i="52" s="1"/>
  <c r="BO110" i="52"/>
  <c r="BZ83" i="52"/>
  <c r="BZ54" i="52"/>
  <c r="BQ74" i="52"/>
  <c r="BQ53" i="52"/>
  <c r="BQ111" i="52" s="1"/>
  <c r="BQ110" i="52"/>
  <c r="CK53" i="52"/>
  <c r="CK111" i="52" s="1"/>
  <c r="CL53" i="52"/>
  <c r="CL111" i="52" s="1"/>
  <c r="BY54" i="52"/>
  <c r="BY83" i="52"/>
  <c r="AC53" i="52"/>
  <c r="AC111" i="52" s="1"/>
  <c r="H53" i="52"/>
  <c r="H111" i="52" s="1"/>
  <c r="AG53" i="52"/>
  <c r="AG111" i="52" s="1"/>
  <c r="CN53" i="52"/>
  <c r="CN111" i="52" s="1"/>
  <c r="K53" i="52"/>
  <c r="K111" i="52" s="1"/>
  <c r="BR75" i="52"/>
  <c r="Z74" i="52"/>
  <c r="Z77" i="52" s="1"/>
  <c r="K74" i="52"/>
  <c r="CX53" i="52"/>
  <c r="CX111" i="52" s="1"/>
  <c r="CX110" i="52"/>
  <c r="AE67" i="51"/>
  <c r="AE171" i="51" s="1"/>
  <c r="M153" i="51"/>
  <c r="O153" i="51"/>
  <c r="Q66" i="51"/>
  <c r="Q161" i="51" s="1"/>
  <c r="U66" i="51"/>
  <c r="U161" i="51" s="1"/>
  <c r="D113" i="52"/>
  <c r="S66" i="51"/>
  <c r="S161" i="51" s="1"/>
  <c r="X66" i="51"/>
  <c r="X161" i="51" s="1"/>
  <c r="CM110" i="52"/>
  <c r="CM53" i="52"/>
  <c r="CM111" i="52" s="1"/>
  <c r="Y66" i="51"/>
  <c r="Y161" i="51" s="1"/>
  <c r="K66" i="51"/>
  <c r="K161" i="51" s="1"/>
  <c r="CY110" i="52"/>
  <c r="CY53" i="52"/>
  <c r="CY111" i="52" s="1"/>
  <c r="J66" i="51"/>
  <c r="J161" i="51" s="1"/>
  <c r="AD53" i="52"/>
  <c r="AD111" i="52" s="1"/>
  <c r="AB110" i="52"/>
  <c r="AB53" i="52"/>
  <c r="AB111" i="52" s="1"/>
  <c r="M66" i="51"/>
  <c r="M161" i="51" s="1"/>
  <c r="N66" i="51"/>
  <c r="N161" i="51" s="1"/>
  <c r="BB110" i="52"/>
  <c r="BB53" i="52"/>
  <c r="BB111" i="52" s="1"/>
  <c r="T66" i="51"/>
  <c r="T161" i="51" s="1"/>
  <c r="V159" i="51"/>
  <c r="V66" i="51"/>
  <c r="V161" i="51" s="1"/>
  <c r="L110" i="52"/>
  <c r="L53" i="52"/>
  <c r="L111" i="52" s="1"/>
  <c r="AF53" i="52"/>
  <c r="AF111" i="52" s="1"/>
  <c r="Z66" i="51"/>
  <c r="Z161" i="51" s="1"/>
  <c r="R87" i="51"/>
  <c r="R90" i="51" s="1"/>
  <c r="R66" i="51"/>
  <c r="R161" i="51" s="1"/>
  <c r="AA110" i="52"/>
  <c r="AA53" i="52"/>
  <c r="AA111" i="52" s="1"/>
  <c r="O66" i="51"/>
  <c r="O161" i="51" s="1"/>
  <c r="L74" i="52"/>
  <c r="CL74" i="52"/>
  <c r="CL77" i="52" s="1"/>
  <c r="CN74" i="52"/>
  <c r="CN110" i="52"/>
  <c r="CR110" i="52"/>
  <c r="CR74" i="52"/>
  <c r="CP110" i="52"/>
  <c r="CP74" i="52"/>
  <c r="BB74" i="52"/>
  <c r="BB77" i="52" s="1"/>
  <c r="AF74" i="52"/>
  <c r="AF77" i="52" s="1"/>
  <c r="AD74" i="52"/>
  <c r="AD77" i="52" s="1"/>
  <c r="X159" i="51"/>
  <c r="U159" i="51"/>
  <c r="R159" i="51"/>
  <c r="H110" i="52"/>
  <c r="H74" i="52"/>
  <c r="Q159" i="51"/>
  <c r="O159" i="51"/>
  <c r="CO110" i="52"/>
  <c r="CO74" i="52"/>
  <c r="CO77" i="52" s="1"/>
  <c r="S159" i="51"/>
  <c r="M159" i="51"/>
  <c r="J159" i="51"/>
  <c r="O87" i="51"/>
  <c r="O90" i="51" s="1"/>
  <c r="X110" i="52"/>
  <c r="AC110" i="52"/>
  <c r="AC74" i="52"/>
  <c r="AC77" i="52" s="1"/>
  <c r="K159" i="51"/>
  <c r="N159" i="51"/>
  <c r="AG110" i="52"/>
  <c r="AG74" i="52"/>
  <c r="AG77" i="52" s="1"/>
  <c r="J87" i="51"/>
  <c r="J90" i="51" s="1"/>
  <c r="CK110" i="52"/>
  <c r="AD67" i="51"/>
  <c r="AD96" i="51"/>
  <c r="X74" i="52"/>
  <c r="X77" i="52" s="1"/>
  <c r="X87" i="51"/>
  <c r="Q87" i="51"/>
  <c r="Q90" i="51" s="1"/>
  <c r="M87" i="51"/>
  <c r="M90" i="51" s="1"/>
  <c r="CK74" i="52"/>
  <c r="N87" i="51"/>
  <c r="N90" i="51" s="1"/>
  <c r="DX8" i="52"/>
  <c r="U87" i="51"/>
  <c r="I87" i="51"/>
  <c r="I90" i="51" s="1"/>
  <c r="AJ21" i="51"/>
  <c r="V87" i="51"/>
  <c r="V90" i="51" s="1"/>
  <c r="DL15" i="52"/>
  <c r="K87" i="51"/>
  <c r="K90" i="51" s="1"/>
  <c r="CX74" i="52"/>
  <c r="CX77" i="52" s="1"/>
  <c r="AB74" i="52"/>
  <c r="AB77" i="52" s="1"/>
  <c r="AA74" i="52"/>
  <c r="S87" i="51"/>
  <c r="S90" i="51" s="1"/>
  <c r="EA8" i="52"/>
  <c r="CM74" i="52"/>
  <c r="DO15" i="52"/>
  <c r="CY74" i="52"/>
  <c r="CY77" i="52" s="1"/>
  <c r="I49" i="51" l="1"/>
  <c r="I53" i="51" s="1"/>
  <c r="AV54" i="52"/>
  <c r="AV55" i="52"/>
  <c r="AN55" i="52"/>
  <c r="AN54" i="52"/>
  <c r="AV113" i="52"/>
  <c r="AN113" i="52"/>
  <c r="F81" i="52"/>
  <c r="F79" i="52" a="1"/>
  <c r="F79" i="52" s="1"/>
  <c r="X55" i="52"/>
  <c r="X83" i="52"/>
  <c r="AC55" i="52"/>
  <c r="CA55" i="52"/>
  <c r="AD55" i="52"/>
  <c r="AB55" i="52"/>
  <c r="BV55" i="52"/>
  <c r="BW54" i="52"/>
  <c r="BW55" i="52"/>
  <c r="BX55" i="52"/>
  <c r="CY55" i="52"/>
  <c r="F55" i="52"/>
  <c r="CL55" i="52"/>
  <c r="CX55" i="52"/>
  <c r="CK55" i="52"/>
  <c r="BV54" i="52"/>
  <c r="BW113" i="52"/>
  <c r="BV113" i="52"/>
  <c r="BB48" i="52"/>
  <c r="BB55" i="52" s="1"/>
  <c r="F113" i="52"/>
  <c r="F54" i="52"/>
  <c r="J75" i="52"/>
  <c r="J42" i="52"/>
  <c r="J51" i="52" s="1"/>
  <c r="J110" i="52" s="1"/>
  <c r="Q124" i="36"/>
  <c r="BC54" i="52"/>
  <c r="BC114" i="52" s="1"/>
  <c r="M48" i="52"/>
  <c r="M55" i="52" s="1"/>
  <c r="BB75" i="52"/>
  <c r="DR17" i="52"/>
  <c r="P87" i="51"/>
  <c r="P90" i="51" s="1"/>
  <c r="P66" i="51"/>
  <c r="P161" i="51" s="1"/>
  <c r="P169" i="51" s="1"/>
  <c r="E96" i="51"/>
  <c r="E67" i="51"/>
  <c r="E94" i="51"/>
  <c r="M113" i="52"/>
  <c r="M75" i="52"/>
  <c r="AA75" i="52"/>
  <c r="AA48" i="52"/>
  <c r="CB81" i="52"/>
  <c r="CJ84" i="52" s="1"/>
  <c r="CB83" i="52"/>
  <c r="AZ114" i="52"/>
  <c r="AZ120" i="52"/>
  <c r="Q126" i="36" s="1"/>
  <c r="H50" i="51"/>
  <c r="H87" i="51"/>
  <c r="H90" i="51" s="1"/>
  <c r="X81" i="52"/>
  <c r="AF83" i="52"/>
  <c r="AF81" i="52"/>
  <c r="CK83" i="52"/>
  <c r="CK81" i="52"/>
  <c r="AC81" i="52"/>
  <c r="AC83" i="52"/>
  <c r="AD81" i="52"/>
  <c r="AD83" i="52"/>
  <c r="Z83" i="52"/>
  <c r="CL83" i="52"/>
  <c r="CL81" i="52"/>
  <c r="CP83" i="52"/>
  <c r="AA81" i="52"/>
  <c r="AB83" i="52"/>
  <c r="CO83" i="52"/>
  <c r="CO81" i="52"/>
  <c r="BB83" i="52"/>
  <c r="BB81" i="52"/>
  <c r="CN81" i="52"/>
  <c r="CN83" i="52"/>
  <c r="CN77" i="52"/>
  <c r="CN79" i="52" s="1" a="1"/>
  <c r="CN79" i="52" s="1"/>
  <c r="H48" i="52"/>
  <c r="H55" i="52" s="1"/>
  <c r="G75" i="52"/>
  <c r="BI54" i="52"/>
  <c r="H77" i="52"/>
  <c r="H75" i="52"/>
  <c r="G51" i="52"/>
  <c r="G53" i="52"/>
  <c r="U90" i="51"/>
  <c r="P50" i="51"/>
  <c r="P55" i="51" s="1"/>
  <c r="E75" i="52"/>
  <c r="AB169" i="51"/>
  <c r="BE113" i="52"/>
  <c r="BF113" i="52"/>
  <c r="CM48" i="52"/>
  <c r="CZ48" i="52"/>
  <c r="CZ55" i="52" s="1"/>
  <c r="CM75" i="52"/>
  <c r="BJ54" i="52"/>
  <c r="DR21" i="52"/>
  <c r="BH54" i="52"/>
  <c r="AA169" i="51"/>
  <c r="CZ75" i="52"/>
  <c r="K79" i="52" a="1"/>
  <c r="K79" i="52" s="1"/>
  <c r="K77" i="52"/>
  <c r="AA88" i="51"/>
  <c r="AA92" i="51" s="1" a="1"/>
  <c r="AA92" i="51" s="1"/>
  <c r="L79" i="52" a="1"/>
  <c r="L79" i="52" s="1"/>
  <c r="L77" i="52"/>
  <c r="L48" i="52"/>
  <c r="L55" i="52" s="1"/>
  <c r="BF54" i="52"/>
  <c r="BD54" i="52"/>
  <c r="CM77" i="52"/>
  <c r="DR20" i="52"/>
  <c r="O54" i="52"/>
  <c r="AA77" i="52"/>
  <c r="AA79" i="52" s="1" a="1"/>
  <c r="AA79" i="52" s="1"/>
  <c r="CK77" i="52"/>
  <c r="CK79" i="52" s="1" a="1"/>
  <c r="CK79" i="52" s="1"/>
  <c r="O169" i="51"/>
  <c r="BK54" i="52"/>
  <c r="AJ54" i="52"/>
  <c r="AJ120" i="52" s="1"/>
  <c r="BG54" i="52"/>
  <c r="BE54" i="52"/>
  <c r="BI113" i="52"/>
  <c r="AH107" i="52"/>
  <c r="AH113" i="52" s="1"/>
  <c r="AH75" i="52"/>
  <c r="AI48" i="52"/>
  <c r="AI55" i="52" s="1"/>
  <c r="BJ113" i="52"/>
  <c r="CZ113" i="52"/>
  <c r="AI107" i="52"/>
  <c r="AI113" i="52" s="1"/>
  <c r="AI75" i="52"/>
  <c r="BH113" i="52"/>
  <c r="BD113" i="52"/>
  <c r="AJ113" i="52"/>
  <c r="AH48" i="52"/>
  <c r="AH55" i="52" s="1"/>
  <c r="BG113" i="52"/>
  <c r="BK113" i="52"/>
  <c r="N54" i="52"/>
  <c r="L107" i="52"/>
  <c r="DL24" i="52" s="1"/>
  <c r="L75" i="52"/>
  <c r="O113" i="52"/>
  <c r="N113" i="52"/>
  <c r="N169" i="51"/>
  <c r="M169" i="51"/>
  <c r="L50" i="51"/>
  <c r="L55" i="51" s="1"/>
  <c r="L64" i="51"/>
  <c r="L159" i="51" s="1"/>
  <c r="Z54" i="52"/>
  <c r="Z120" i="52" s="1"/>
  <c r="AC54" i="52"/>
  <c r="AC120" i="52" s="1"/>
  <c r="CY54" i="52"/>
  <c r="K54" i="52"/>
  <c r="CB54" i="52"/>
  <c r="AG54" i="52"/>
  <c r="AG120" i="52" s="1"/>
  <c r="CO54" i="52"/>
  <c r="CO68" i="52" s="1"/>
  <c r="CX54" i="52"/>
  <c r="T54" i="52"/>
  <c r="BP54" i="52"/>
  <c r="AD54" i="52"/>
  <c r="AD120" i="52" s="1"/>
  <c r="BR54" i="52"/>
  <c r="CK54" i="52"/>
  <c r="AD94" i="51"/>
  <c r="AD171" i="51"/>
  <c r="CR54" i="52"/>
  <c r="BQ54" i="52"/>
  <c r="AB54" i="52"/>
  <c r="AB120" i="52" s="1"/>
  <c r="CN54" i="52"/>
  <c r="BO54" i="52"/>
  <c r="AF54" i="52"/>
  <c r="AF120" i="52" s="1"/>
  <c r="CP54" i="52"/>
  <c r="CQ54" i="52"/>
  <c r="X54" i="52"/>
  <c r="X120" i="52" s="1"/>
  <c r="CA54" i="52"/>
  <c r="BX54" i="52"/>
  <c r="CL54" i="52"/>
  <c r="BB54" i="52"/>
  <c r="S54" i="52"/>
  <c r="AC87" i="51"/>
  <c r="AC66" i="51"/>
  <c r="AC161" i="51" s="1"/>
  <c r="AC169" i="51" s="1"/>
  <c r="Z88" i="51"/>
  <c r="Z92" i="51" s="1" a="1"/>
  <c r="Z92" i="51" s="1"/>
  <c r="S113" i="52"/>
  <c r="K113" i="52"/>
  <c r="K55" i="51"/>
  <c r="K68" i="51" s="1"/>
  <c r="T113" i="52"/>
  <c r="CQ113" i="52"/>
  <c r="CL79" i="52" a="1"/>
  <c r="CL79" i="52" s="1"/>
  <c r="CA83" i="52"/>
  <c r="K153" i="51"/>
  <c r="K169" i="51" s="1"/>
  <c r="K88" i="51"/>
  <c r="K92" i="51" s="1" a="1"/>
  <c r="K92" i="51" s="1"/>
  <c r="J153" i="51"/>
  <c r="J169" i="51" s="1"/>
  <c r="L66" i="51"/>
  <c r="L161" i="51" s="1"/>
  <c r="L87" i="51"/>
  <c r="I159" i="51"/>
  <c r="CX113" i="52"/>
  <c r="CN113" i="52"/>
  <c r="CP113" i="52"/>
  <c r="AA87" i="51"/>
  <c r="AA50" i="51"/>
  <c r="AA55" i="51" s="1"/>
  <c r="AA68" i="51" s="1"/>
  <c r="S153" i="51"/>
  <c r="S169" i="51" s="1"/>
  <c r="T153" i="51"/>
  <c r="T169" i="51" s="1"/>
  <c r="Q153" i="51"/>
  <c r="Q169" i="51" s="1"/>
  <c r="V153" i="51"/>
  <c r="V169" i="51" s="1"/>
  <c r="X153" i="51"/>
  <c r="X169" i="51" s="1"/>
  <c r="Y153" i="51"/>
  <c r="Y169" i="51" s="1"/>
  <c r="U153" i="51"/>
  <c r="U169" i="51" s="1"/>
  <c r="R153" i="51"/>
  <c r="R169" i="51" s="1"/>
  <c r="Z153" i="51"/>
  <c r="Z169" i="51" s="1"/>
  <c r="CO113" i="52"/>
  <c r="DU20" i="52"/>
  <c r="C161" i="51"/>
  <c r="C53" i="51"/>
  <c r="C50" i="51"/>
  <c r="AB50" i="51"/>
  <c r="AB55" i="51" s="1"/>
  <c r="AB68" i="51" s="1"/>
  <c r="T88" i="51"/>
  <c r="T92" i="51" s="1" a="1"/>
  <c r="T92" i="51" s="1"/>
  <c r="CR113" i="52"/>
  <c r="AC88" i="51"/>
  <c r="CB113" i="52"/>
  <c r="BX113" i="52"/>
  <c r="AC55" i="51"/>
  <c r="AC68" i="51" s="1"/>
  <c r="AC113" i="52"/>
  <c r="CA113" i="52"/>
  <c r="Z110" i="52"/>
  <c r="Z113" i="52" s="1"/>
  <c r="K82" i="51"/>
  <c r="CL110" i="52"/>
  <c r="DX19" i="52" s="1"/>
  <c r="AD79" i="52" a="1"/>
  <c r="AD79" i="52" s="1"/>
  <c r="CK113" i="52"/>
  <c r="AB79" i="52" a="1"/>
  <c r="AB79" i="52" s="1"/>
  <c r="Q88" i="51"/>
  <c r="Q92" i="51" s="1" a="1"/>
  <c r="Q92" i="51" s="1"/>
  <c r="P88" i="51"/>
  <c r="AG113" i="52"/>
  <c r="BO113" i="52"/>
  <c r="DX20" i="52"/>
  <c r="AF106" i="51"/>
  <c r="G107" i="51"/>
  <c r="AF105" i="51"/>
  <c r="J107" i="51"/>
  <c r="BR113" i="52"/>
  <c r="I107" i="51"/>
  <c r="BQ113" i="52"/>
  <c r="ED17" i="52"/>
  <c r="O88" i="51"/>
  <c r="O92" i="51" s="1" a="1"/>
  <c r="O92" i="51" s="1"/>
  <c r="U55" i="51"/>
  <c r="U68" i="51" s="1"/>
  <c r="J88" i="51"/>
  <c r="J92" i="51" s="1" a="1"/>
  <c r="J92" i="51" s="1"/>
  <c r="X55" i="51"/>
  <c r="X68" i="51" s="1"/>
  <c r="BZ81" i="52"/>
  <c r="BZ114" i="52"/>
  <c r="BP113" i="52"/>
  <c r="ED20" i="52"/>
  <c r="R55" i="51"/>
  <c r="R68" i="51" s="1"/>
  <c r="Q55" i="51"/>
  <c r="Q68" i="51" s="1"/>
  <c r="ED21" i="52"/>
  <c r="CK68" i="52"/>
  <c r="BY114" i="52"/>
  <c r="BY81" i="52"/>
  <c r="EA21" i="52"/>
  <c r="EA19" i="52"/>
  <c r="EA20" i="52"/>
  <c r="E88" i="51"/>
  <c r="E92" i="51" s="1" a="1"/>
  <c r="E92" i="51" s="1"/>
  <c r="E153" i="51"/>
  <c r="E169" i="51" s="1"/>
  <c r="U88" i="51"/>
  <c r="U92" i="51" s="1" a="1"/>
  <c r="U92" i="51" s="1"/>
  <c r="N55" i="51"/>
  <c r="N68" i="51" s="1"/>
  <c r="M55" i="51"/>
  <c r="M68" i="51" s="1"/>
  <c r="O55" i="51"/>
  <c r="O68" i="51" s="1"/>
  <c r="V55" i="51"/>
  <c r="V68" i="51" s="1"/>
  <c r="J55" i="51"/>
  <c r="J68" i="51" s="1"/>
  <c r="S55" i="51"/>
  <c r="S68" i="51" s="1"/>
  <c r="Y55" i="51"/>
  <c r="Y68" i="51" s="1"/>
  <c r="T55" i="51"/>
  <c r="T68" i="51" s="1"/>
  <c r="Z55" i="51"/>
  <c r="Z68" i="51" s="1"/>
  <c r="S88" i="51"/>
  <c r="S92" i="51" s="1" a="1"/>
  <c r="S92" i="51" s="1"/>
  <c r="Y88" i="51"/>
  <c r="Y92" i="51" s="1" a="1"/>
  <c r="Y92" i="51" s="1"/>
  <c r="V88" i="51"/>
  <c r="V92" i="51" s="1" a="1"/>
  <c r="V92" i="51" s="1"/>
  <c r="M88" i="51"/>
  <c r="M92" i="51" s="1" a="1"/>
  <c r="M92" i="51" s="1"/>
  <c r="X88" i="51"/>
  <c r="AE94" i="51"/>
  <c r="R88" i="51"/>
  <c r="R92" i="51" s="1" a="1"/>
  <c r="R92" i="51" s="1"/>
  <c r="N88" i="51"/>
  <c r="N92" i="51" s="1" a="1"/>
  <c r="N92" i="51" s="1"/>
  <c r="CY113" i="52"/>
  <c r="D114" i="52"/>
  <c r="AB113" i="52"/>
  <c r="AA113" i="52"/>
  <c r="BB113" i="52"/>
  <c r="DO28" i="52"/>
  <c r="I66" i="51"/>
  <c r="I161" i="51" s="1"/>
  <c r="H66" i="51"/>
  <c r="H161" i="51" s="1"/>
  <c r="X92" i="51" a="1"/>
  <c r="X92" i="51" s="1"/>
  <c r="P92" i="51" a="1"/>
  <c r="P92" i="51" s="1"/>
  <c r="BB79" i="52" a="1"/>
  <c r="BB79" i="52" s="1"/>
  <c r="AF110" i="52"/>
  <c r="AF113" i="52" s="1"/>
  <c r="AF79" i="52" a="1"/>
  <c r="AF79" i="52" s="1"/>
  <c r="X113" i="52"/>
  <c r="AD110" i="52"/>
  <c r="AD113" i="52" s="1"/>
  <c r="DD114" i="52"/>
  <c r="AZ81" i="52"/>
  <c r="AG79" i="52" a="1"/>
  <c r="AG79" i="52" s="1"/>
  <c r="CO79" i="52" a="1"/>
  <c r="CO79" i="52" s="1"/>
  <c r="H113" i="52"/>
  <c r="AC79" i="52" a="1"/>
  <c r="AC79" i="52" s="1"/>
  <c r="CJ114" i="52"/>
  <c r="CM113" i="52"/>
  <c r="V114" i="52"/>
  <c r="W81" i="52"/>
  <c r="DL30" i="52" s="1"/>
  <c r="CV114" i="52"/>
  <c r="DC114" i="52"/>
  <c r="X79" i="52" a="1"/>
  <c r="X79" i="52" s="1"/>
  <c r="BM81" i="52"/>
  <c r="BM114" i="52"/>
  <c r="BN114" i="52"/>
  <c r="BN81" i="52"/>
  <c r="CI114" i="52"/>
  <c r="CI81" i="52"/>
  <c r="DU21" i="52" s="1"/>
  <c r="BA81" i="52"/>
  <c r="BA114" i="52"/>
  <c r="CW114" i="52"/>
  <c r="CW81" i="52"/>
  <c r="DX21" i="52" s="1"/>
  <c r="I50" i="51" l="1"/>
  <c r="I55" i="51" s="1"/>
  <c r="I153" i="51"/>
  <c r="I88" i="51"/>
  <c r="I92" i="51" s="1" a="1"/>
  <c r="I92" i="51" s="1"/>
  <c r="J53" i="52"/>
  <c r="J111" i="52" s="1"/>
  <c r="J113" i="52" s="1"/>
  <c r="J74" i="52"/>
  <c r="AN114" i="52"/>
  <c r="AN120" i="52"/>
  <c r="AV114" i="52"/>
  <c r="AV120" i="52"/>
  <c r="Q125" i="36" s="1"/>
  <c r="AA55" i="52"/>
  <c r="BA57" i="52" s="1"/>
  <c r="AA83" i="52"/>
  <c r="P68" i="51"/>
  <c r="BW114" i="52"/>
  <c r="L68" i="51"/>
  <c r="C153" i="51"/>
  <c r="C169" i="51" s="1"/>
  <c r="C55" i="51"/>
  <c r="C68" i="51" s="1"/>
  <c r="F114" i="52"/>
  <c r="CM54" i="52"/>
  <c r="CM68" i="52" s="1"/>
  <c r="CM55" i="52"/>
  <c r="BV114" i="52"/>
  <c r="CZ54" i="52"/>
  <c r="DD56" i="52" s="1"/>
  <c r="H54" i="52"/>
  <c r="H114" i="52" s="1"/>
  <c r="J45" i="52"/>
  <c r="J48" i="52" s="1"/>
  <c r="J55" i="52" s="1"/>
  <c r="BD114" i="52"/>
  <c r="M54" i="52"/>
  <c r="M114" i="52" s="1"/>
  <c r="AA54" i="52"/>
  <c r="AA120" i="52" s="1"/>
  <c r="Q119" i="36"/>
  <c r="AA67" i="51"/>
  <c r="AA171" i="51" s="1"/>
  <c r="AC67" i="51"/>
  <c r="AC171" i="51" s="1"/>
  <c r="AB67" i="51"/>
  <c r="AB171" i="51" s="1"/>
  <c r="CM79" i="52" a="1"/>
  <c r="CM79" i="52" s="1"/>
  <c r="N67" i="51"/>
  <c r="N171" i="51" s="1"/>
  <c r="R67" i="51"/>
  <c r="R171" i="51" s="1"/>
  <c r="R96" i="51"/>
  <c r="R94" i="51"/>
  <c r="J96" i="51"/>
  <c r="J94" i="51"/>
  <c r="J67" i="51"/>
  <c r="J171" i="51" s="1"/>
  <c r="I96" i="51"/>
  <c r="I94" i="51"/>
  <c r="L96" i="51"/>
  <c r="L94" i="51"/>
  <c r="L67" i="51"/>
  <c r="L154" i="51" s="1"/>
  <c r="AH154" i="51" s="1"/>
  <c r="K67" i="51"/>
  <c r="K171" i="51" s="1"/>
  <c r="K96" i="51"/>
  <c r="K94" i="51"/>
  <c r="M94" i="51"/>
  <c r="M67" i="51"/>
  <c r="M171" i="51" s="1"/>
  <c r="M96" i="51"/>
  <c r="P94" i="51"/>
  <c r="P67" i="51"/>
  <c r="P171" i="51" s="1"/>
  <c r="P96" i="51"/>
  <c r="O96" i="51"/>
  <c r="O67" i="51"/>
  <c r="O171" i="51" s="1"/>
  <c r="O94" i="51"/>
  <c r="Q94" i="51"/>
  <c r="Q67" i="51"/>
  <c r="Q171" i="51" s="1"/>
  <c r="Q96" i="51"/>
  <c r="U94" i="51"/>
  <c r="U67" i="51"/>
  <c r="U171" i="51" s="1"/>
  <c r="U96" i="51"/>
  <c r="V67" i="51"/>
  <c r="V171" i="51" s="1"/>
  <c r="V96" i="51"/>
  <c r="V94" i="51"/>
  <c r="S96" i="51"/>
  <c r="S94" i="51"/>
  <c r="S67" i="51"/>
  <c r="S171" i="51" s="1"/>
  <c r="T96" i="51"/>
  <c r="T94" i="51"/>
  <c r="T67" i="51"/>
  <c r="T171" i="51" s="1"/>
  <c r="X96" i="51"/>
  <c r="X67" i="51"/>
  <c r="X171" i="51" s="1"/>
  <c r="Y67" i="51"/>
  <c r="Y171" i="51" s="1"/>
  <c r="Y94" i="51"/>
  <c r="Y96" i="51"/>
  <c r="Z67" i="51"/>
  <c r="Z171" i="51" s="1"/>
  <c r="CM83" i="52"/>
  <c r="CM81" i="52"/>
  <c r="G46" i="5"/>
  <c r="J81" i="52"/>
  <c r="J83" i="52"/>
  <c r="BJ114" i="52"/>
  <c r="O114" i="52"/>
  <c r="BI114" i="52"/>
  <c r="BF114" i="52"/>
  <c r="H81" i="52"/>
  <c r="N96" i="51"/>
  <c r="N94" i="51"/>
  <c r="H79" i="52" a="1"/>
  <c r="H79" i="52" s="1"/>
  <c r="L54" i="52"/>
  <c r="J77" i="52"/>
  <c r="J79" i="52" s="1" a="1"/>
  <c r="J79" i="52" s="1"/>
  <c r="BH114" i="52"/>
  <c r="BN56" i="52"/>
  <c r="BK114" i="52"/>
  <c r="BE114" i="52"/>
  <c r="L113" i="52"/>
  <c r="AJ114" i="52"/>
  <c r="BN57" i="52"/>
  <c r="E171" i="51"/>
  <c r="L90" i="51"/>
  <c r="L92" i="51" s="1" a="1"/>
  <c r="L92" i="51" s="1"/>
  <c r="BG114" i="52"/>
  <c r="N114" i="52"/>
  <c r="AI54" i="52"/>
  <c r="DO24" i="52"/>
  <c r="AH54" i="52"/>
  <c r="AH120" i="52" s="1"/>
  <c r="K114" i="52"/>
  <c r="CJ85" i="52"/>
  <c r="E119" i="5" s="1"/>
  <c r="S114" i="52"/>
  <c r="L169" i="51"/>
  <c r="I169" i="51"/>
  <c r="CX114" i="52"/>
  <c r="T114" i="52"/>
  <c r="CQ114" i="52"/>
  <c r="CJ57" i="52"/>
  <c r="CA114" i="52"/>
  <c r="CO114" i="52"/>
  <c r="CB114" i="52"/>
  <c r="C88" i="51"/>
  <c r="C92" i="51" s="1" a="1"/>
  <c r="C92" i="51" s="1"/>
  <c r="CP114" i="52"/>
  <c r="AC114" i="52"/>
  <c r="BX114" i="52"/>
  <c r="CJ56" i="52"/>
  <c r="F61" i="5" s="1"/>
  <c r="H61" i="5" s="1"/>
  <c r="Z114" i="52"/>
  <c r="BR114" i="52"/>
  <c r="CL113" i="52"/>
  <c r="CL114" i="52" s="1"/>
  <c r="ED22" i="52"/>
  <c r="ED25" i="52" s="1"/>
  <c r="BQ114" i="52"/>
  <c r="AG114" i="52"/>
  <c r="AF107" i="51"/>
  <c r="F64" i="32" s="1"/>
  <c r="H55" i="51"/>
  <c r="H68" i="51" s="1"/>
  <c r="H153" i="51"/>
  <c r="H169" i="51" s="1"/>
  <c r="BP114" i="52"/>
  <c r="BZ57" i="52"/>
  <c r="BZ56" i="52"/>
  <c r="BO114" i="52"/>
  <c r="CY114" i="52"/>
  <c r="H88" i="51"/>
  <c r="H92" i="51" s="1" a="1"/>
  <c r="H92" i="51" s="1"/>
  <c r="DO30" i="52"/>
  <c r="AB114" i="52"/>
  <c r="DR22" i="52"/>
  <c r="CL68" i="52"/>
  <c r="BB114" i="52"/>
  <c r="AF114" i="52"/>
  <c r="BA85" i="52"/>
  <c r="E120" i="5" s="1"/>
  <c r="BN85" i="52"/>
  <c r="BA84" i="52"/>
  <c r="DO31" i="52" s="1"/>
  <c r="BN84" i="52"/>
  <c r="X114" i="52"/>
  <c r="CR114" i="52"/>
  <c r="CR68" i="52"/>
  <c r="AD114" i="52"/>
  <c r="CN114" i="52"/>
  <c r="CN68" i="52"/>
  <c r="DO27" i="52"/>
  <c r="CK114" i="52"/>
  <c r="EA22" i="52"/>
  <c r="EA24" i="52" s="1"/>
  <c r="D118" i="5"/>
  <c r="DD57" i="52"/>
  <c r="DU22" i="52"/>
  <c r="D119" i="5"/>
  <c r="I67" i="51" l="1"/>
  <c r="I68" i="51"/>
  <c r="CW56" i="52"/>
  <c r="CM114" i="52"/>
  <c r="C94" i="51"/>
  <c r="C96" i="51"/>
  <c r="CZ114" i="52"/>
  <c r="J54" i="52"/>
  <c r="J114" i="52" s="1"/>
  <c r="AA114" i="52"/>
  <c r="C67" i="51"/>
  <c r="C171" i="51" s="1"/>
  <c r="CW85" i="52"/>
  <c r="E117" i="5" s="1"/>
  <c r="CW84" i="52"/>
  <c r="DX22" i="52" s="1"/>
  <c r="CW57" i="52"/>
  <c r="AI114" i="52"/>
  <c r="AI120" i="52"/>
  <c r="Q123" i="36" s="1"/>
  <c r="Q130" i="36" s="1"/>
  <c r="AH114" i="52"/>
  <c r="H94" i="51"/>
  <c r="H96" i="51"/>
  <c r="H67" i="51"/>
  <c r="H171" i="51" s="1"/>
  <c r="L114" i="52"/>
  <c r="F35" i="5"/>
  <c r="H35" i="5" s="1"/>
  <c r="G61" i="5"/>
  <c r="F22" i="2" s="1"/>
  <c r="F24" i="2" s="1"/>
  <c r="BA56" i="52"/>
  <c r="E111" i="36" s="1"/>
  <c r="E114" i="36" s="1"/>
  <c r="F187" i="36" s="1"/>
  <c r="DO32" i="52"/>
  <c r="I171" i="51"/>
  <c r="L171" i="51"/>
  <c r="DU24" i="52"/>
  <c r="DU25" i="52" s="1"/>
  <c r="AF83" i="51"/>
  <c r="G32" i="5" s="1"/>
  <c r="G82" i="51"/>
  <c r="F124" i="32"/>
  <c r="G63" i="5" s="1"/>
  <c r="F71" i="32"/>
  <c r="M32" i="63"/>
  <c r="M46" i="63" s="1"/>
  <c r="M47" i="63" s="1"/>
  <c r="E121" i="5"/>
  <c r="ED26" i="52"/>
  <c r="F55" i="5"/>
  <c r="EA25" i="52"/>
  <c r="F111" i="36"/>
  <c r="F114" i="36" s="1"/>
  <c r="G35" i="5"/>
  <c r="G55" i="5"/>
  <c r="G59" i="5" s="1"/>
  <c r="F20" i="2" s="1"/>
  <c r="G37" i="5"/>
  <c r="J32" i="63"/>
  <c r="J46" i="63" s="1"/>
  <c r="F42" i="5" s="1"/>
  <c r="H42" i="5" s="1"/>
  <c r="CW70" i="52"/>
  <c r="F46" i="5" s="1"/>
  <c r="H46" i="5" s="1"/>
  <c r="D121" i="5"/>
  <c r="I82" i="51"/>
  <c r="DR23" i="52"/>
  <c r="DR25" i="52" s="1"/>
  <c r="D120" i="5"/>
  <c r="E22" i="2"/>
  <c r="E24" i="2" s="1"/>
  <c r="F65" i="5"/>
  <c r="F45" i="5" l="1"/>
  <c r="H45" i="5" s="1"/>
  <c r="Q131" i="36"/>
  <c r="G45" i="5"/>
  <c r="G53" i="5" s="1"/>
  <c r="D117" i="5"/>
  <c r="G65" i="5"/>
  <c r="F23" i="2" s="1"/>
  <c r="F37" i="5"/>
  <c r="H37" i="5" s="1"/>
  <c r="DO33" i="52"/>
  <c r="H82" i="51"/>
  <c r="AF82" i="51" s="1"/>
  <c r="F32" i="5" s="1"/>
  <c r="H32" i="5" s="1"/>
  <c r="DX24" i="52"/>
  <c r="DX25" i="52" s="1"/>
  <c r="DR26" i="52"/>
  <c r="E206" i="36"/>
  <c r="E207" i="36" s="1"/>
  <c r="J47" i="63"/>
  <c r="G42" i="5"/>
  <c r="F59" i="5"/>
  <c r="H55" i="5"/>
  <c r="E23" i="2"/>
  <c r="H65" i="5"/>
  <c r="E16" i="2" l="1"/>
  <c r="E18" i="2" s="1"/>
  <c r="F53" i="5"/>
  <c r="H53" i="5" s="1"/>
  <c r="F16" i="2"/>
  <c r="F18" i="2" s="1"/>
  <c r="E20" i="2"/>
  <c r="H59" i="5"/>
  <c r="E17" i="2" l="1"/>
  <c r="F17" i="2"/>
  <c r="G77" i="5"/>
  <c r="G78" i="5" l="1"/>
  <c r="F28" i="2"/>
  <c r="F29" i="2" s="1"/>
  <c r="E53" i="52" l="1"/>
  <c r="E111" i="52" s="1"/>
  <c r="E45" i="52"/>
  <c r="E48" i="52" s="1"/>
  <c r="E55" i="52" s="1"/>
  <c r="E110" i="52"/>
  <c r="E74" i="52"/>
  <c r="E77" i="52" s="1"/>
  <c r="E83" i="52" l="1"/>
  <c r="E81" i="52"/>
  <c r="E113" i="52"/>
  <c r="E54" i="52"/>
  <c r="E79" i="52" a="1"/>
  <c r="E79" i="52" s="1"/>
  <c r="G45" i="52"/>
  <c r="G111" i="52"/>
  <c r="DL28" i="52" s="1"/>
  <c r="G110" i="52"/>
  <c r="DL27" i="52" s="1"/>
  <c r="G74" i="52"/>
  <c r="G77" i="52" s="1"/>
  <c r="G79" i="52" l="1" a="1"/>
  <c r="G79" i="52" s="1"/>
  <c r="G48" i="52"/>
  <c r="G55" i="52" s="1"/>
  <c r="E114" i="52"/>
  <c r="G83" i="52" l="1"/>
  <c r="G81" i="52"/>
  <c r="W84" i="52" s="1"/>
  <c r="G54" i="52"/>
  <c r="DE48" i="52"/>
  <c r="G113" i="52"/>
  <c r="W85" i="52" l="1"/>
  <c r="E116" i="5" s="1"/>
  <c r="G114" i="52"/>
  <c r="D116" i="5"/>
  <c r="DL31" i="52"/>
  <c r="DL32" i="52" s="1"/>
  <c r="W57" i="52"/>
  <c r="W56" i="52"/>
  <c r="G33" i="5" l="1"/>
  <c r="DL33" i="52"/>
  <c r="F33" i="5"/>
  <c r="H33" i="5" l="1"/>
  <c r="G87" i="51" l="1"/>
  <c r="G151" i="51"/>
  <c r="AJ37" i="51" s="1"/>
  <c r="G46" i="51"/>
  <c r="G90" i="51" l="1"/>
  <c r="G48" i="51"/>
  <c r="G50" i="51" s="1"/>
  <c r="G64" i="51"/>
  <c r="G159" i="51" s="1"/>
  <c r="G66" i="51" l="1"/>
  <c r="G161" i="51" s="1"/>
  <c r="G53" i="51"/>
  <c r="G88" i="51" s="1"/>
  <c r="G92" i="51" s="1" a="1"/>
  <c r="G92" i="51" s="1"/>
  <c r="AI162" i="51"/>
  <c r="G55" i="51" l="1"/>
  <c r="G68" i="51" s="1"/>
  <c r="G153" i="51"/>
  <c r="G67" i="51" l="1"/>
  <c r="G96" i="51"/>
  <c r="AH95" i="51" s="1"/>
  <c r="G94" i="51"/>
  <c r="AI157" i="51"/>
  <c r="G169" i="51"/>
  <c r="G171" i="51" l="1"/>
  <c r="W61" i="51" l="1"/>
  <c r="W168" i="51" s="1"/>
  <c r="W138" i="51"/>
  <c r="AJ26" i="51" s="1"/>
  <c r="W46" i="51"/>
  <c r="W48" i="51" s="1"/>
  <c r="W53" i="51" s="1"/>
  <c r="W38" i="51"/>
  <c r="W45" i="51" s="1"/>
  <c r="W87" i="51" l="1"/>
  <c r="W90" i="51" s="1"/>
  <c r="W64" i="51"/>
  <c r="W159" i="51" s="1"/>
  <c r="W66" i="51"/>
  <c r="W161" i="51" s="1"/>
  <c r="AJ41" i="51" s="1"/>
  <c r="AJ36" i="51"/>
  <c r="W153" i="51"/>
  <c r="W88" i="51"/>
  <c r="W50" i="51"/>
  <c r="W55" i="51" s="1"/>
  <c r="W68" i="51" s="1"/>
  <c r="W92" i="51" l="1" a="1"/>
  <c r="W92" i="51" s="1"/>
  <c r="AH92" i="51" s="1"/>
  <c r="W67" i="51"/>
  <c r="AF67" i="51" s="1"/>
  <c r="W94" i="51"/>
  <c r="AH93" i="51" s="1"/>
  <c r="AH96" i="51" s="1"/>
  <c r="E115" i="5" s="1"/>
  <c r="E122" i="5" s="1"/>
  <c r="W169" i="51"/>
  <c r="AF169" i="51" s="1"/>
  <c r="AH153" i="51"/>
  <c r="AJ32" i="51"/>
  <c r="AH159" i="51"/>
  <c r="AJ40" i="51"/>
  <c r="AF55" i="51"/>
  <c r="AH94" i="51" l="1"/>
  <c r="F31" i="5" s="1"/>
  <c r="AH169" i="51"/>
  <c r="AH171" i="51" s="1"/>
  <c r="W171" i="51"/>
  <c r="AF171" i="51"/>
  <c r="D115" i="5" l="1"/>
  <c r="D122" i="5" s="1"/>
  <c r="AJ44" i="51"/>
  <c r="AJ45" i="51" s="1"/>
  <c r="AJ46" i="51" s="1"/>
  <c r="F43" i="5"/>
  <c r="H43" i="5" s="1"/>
  <c r="H66" i="5" s="1"/>
  <c r="H31" i="5"/>
  <c r="E12" i="2" l="1"/>
  <c r="E15" i="2" s="1"/>
  <c r="F66" i="5"/>
  <c r="D6" i="3" s="1"/>
  <c r="E25" i="2" l="1"/>
  <c r="F67" i="5"/>
  <c r="H67" i="5" s="1"/>
  <c r="D7" i="3" l="1"/>
  <c r="E26" i="2"/>
  <c r="E30" i="2" s="1"/>
  <c r="E34" i="2" s="1"/>
  <c r="F79" i="5"/>
  <c r="H79" i="5" s="1"/>
  <c r="F83" i="5" l="1"/>
  <c r="D113" i="5" s="1"/>
  <c r="D133" i="5" s="1"/>
  <c r="F84" i="5" s="1"/>
  <c r="F102" i="5" s="1"/>
  <c r="H83" i="5" l="1"/>
  <c r="H102" i="5"/>
  <c r="H109" i="5" s="1"/>
  <c r="F109" i="5"/>
  <c r="D8" i="3"/>
  <c r="F108" i="5"/>
  <c r="H108" i="5" s="1"/>
  <c r="F105" i="5"/>
  <c r="E53" i="2"/>
  <c r="H105" i="5" l="1"/>
  <c r="F99" i="5"/>
  <c r="E55" i="2"/>
  <c r="AF68" i="51"/>
  <c r="G31" i="5" s="1"/>
  <c r="G43" i="5" s="1"/>
  <c r="H99" i="5" l="1"/>
  <c r="F106" i="5"/>
  <c r="E50" i="2"/>
  <c r="G66" i="5"/>
  <c r="F12" i="2"/>
  <c r="F15" i="2" s="1"/>
  <c r="E56" i="2" l="1"/>
  <c r="H106" i="5"/>
  <c r="F25" i="2"/>
  <c r="G67" i="5"/>
  <c r="E6" i="3"/>
  <c r="E7" i="3" l="1"/>
  <c r="G79" i="5"/>
  <c r="G83" i="5" s="1"/>
  <c r="E113" i="5" s="1"/>
  <c r="E133" i="5" s="1"/>
  <c r="G84" i="5" s="1"/>
  <c r="G102" i="5" s="1"/>
  <c r="F26" i="2"/>
  <c r="F30" i="2" s="1"/>
  <c r="F34" i="2" s="1"/>
  <c r="G108" i="5" l="1"/>
  <c r="E8" i="3"/>
  <c r="F53" i="2"/>
  <c r="G109" i="5"/>
  <c r="G105" i="5"/>
  <c r="G99" i="5" l="1"/>
  <c r="F55" i="2"/>
  <c r="F50" i="2" l="1"/>
  <c r="G106" i="5"/>
  <c r="F56"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tc={BE3AF0E5-2F6A-C944-BFC4-89EE673A2615}</author>
    <author>tc={4CD2A72C-3824-A14F-84FD-1FE008D1932F}</author>
    <author>Tove Dohn</author>
    <author>tc={5B3B0BD1-7452-0042-827E-F576144014A8}</author>
  </authors>
  <commentList>
    <comment ref="E5" authorId="0" shapeId="0" xr:uid="{00000000-0006-0000-0700-000001000000}">
      <text>
        <t>[Trådet kommentar]
Din version af Excel lader dig læse denne trådede kommentar. Eventuelle ændringer vil dog blive fjernet, hvis filen åbnes i en nyere version af Excel. Få mere at vide: https://go.microsoft.com/fwlink/?linkid=870924
Kommentar:
    Tove Dohn: 
Elevtal under 350 = 353.412,- i årligt grundbeløb. 
Elevtal på eller over 350 = 396.929,- i årligt  grundbeløb. 
Hertil  kan der være et udligningstillæg beregnet i 2019 samt lokale tillæg.</t>
      </text>
    </comment>
    <comment ref="F5" authorId="1" shapeId="0" xr:uid="{4CD2A72C-3824-A14F-84FD-1FE008D1932F}">
      <text>
        <t>[Trådet kommentar]
Din version af Excel lader dig læse denne trådede kommentar. Eventuelle ændringer vil dog blive fjernet, hvis filen åbnes i en nyere version af Excel. Få mere at vide: https://go.microsoft.com/fwlink/?linkid=870924
Kommentar:
    Tove Dohn: 
Elevtal under 350 = 353.412,- i årligt grundbeløb. 
Elevtal på eller over 350 = 396.929,- i årligt  grundbeløb. 
Hertil  kan der være et udligningstillæg beregnet i 2019 samt lokale tillæg.</t>
      </text>
    </comment>
    <comment ref="A86" authorId="2" shapeId="0" xr:uid="{910AF1E9-DC27-9F44-A9D5-0C6EFAD563E7}">
      <text>
        <r>
          <rPr>
            <b/>
            <sz val="10"/>
            <color rgb="FF000000"/>
            <rFont val="Tahoma"/>
            <family val="2"/>
          </rPr>
          <t>Tove Dohn:</t>
        </r>
        <r>
          <rPr>
            <sz val="10"/>
            <color rgb="FF000000"/>
            <rFont val="Tahoma"/>
            <family val="2"/>
          </rPr>
          <t xml:space="preserve">
</t>
        </r>
        <r>
          <rPr>
            <sz val="11"/>
            <color rgb="FF000000"/>
            <rFont val="Arial"/>
            <family val="2"/>
          </rPr>
          <t xml:space="preserve">Tast her skolens udgift på feriepengeforpligtigelsen. Hvis fleksjobber på gl. ordning er skolens udgift typist 17%. Hvis fleksjobber på ny ordning er skolens udgift 50%
</t>
        </r>
      </text>
    </comment>
    <comment ref="B87" authorId="3" shapeId="0" xr:uid="{00000000-0006-0000-0700-000003000000}">
      <text>
        <t xml:space="preserve">[Trådet kommentar]
Din version af Excel lader dig læse denne trådede kommentar. Eventuelle ændringer vil dog blive fjernet, hvis filen åbnes i en nyere version af Excel. Få mere at vide: https://go.microsoft.com/fwlink/?linkid=870924
Kommentar:
    Hvis en ansat har mere end 1 kolonne pga. feks. lønændring, barsel eller fratrædelse skal kun oplyse skyldige feriedage i en af kolonnerne.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Tove Dohn</author>
    <author>tc={C6A80ED0-6B1D-4048-917F-FBA122BEA6A8}</author>
  </authors>
  <commentList>
    <comment ref="AR8" authorId="0" shapeId="0" xr:uid="{C3A99A61-4F0D-5C49-ABB0-F2794E4EAA8A}">
      <text>
        <r>
          <rPr>
            <b/>
            <sz val="10"/>
            <color rgb="FF000000"/>
            <rFont val="Tahoma"/>
            <family val="2"/>
          </rPr>
          <t>Tove Dohn:</t>
        </r>
        <r>
          <rPr>
            <sz val="10"/>
            <color rgb="FF000000"/>
            <rFont val="Tahoma"/>
            <family val="2"/>
          </rPr>
          <t xml:space="preserve">
</t>
        </r>
        <r>
          <rPr>
            <sz val="10"/>
            <color rgb="FF000000"/>
            <rFont val="Tahoma"/>
            <family val="2"/>
          </rPr>
          <t xml:space="preserve">Tast her månedslønnen i 12 kroner.
</t>
        </r>
      </text>
    </comment>
    <comment ref="AS8" authorId="0" shapeId="0" xr:uid="{EFC14577-3FF1-D948-A4DE-F77EE5AF0DF8}">
      <text>
        <r>
          <rPr>
            <b/>
            <sz val="10"/>
            <color rgb="FF000000"/>
            <rFont val="Tahoma"/>
            <family val="2"/>
          </rPr>
          <t>Tove Dohn:</t>
        </r>
        <r>
          <rPr>
            <sz val="10"/>
            <color rgb="FF000000"/>
            <rFont val="Tahoma"/>
            <family val="2"/>
          </rPr>
          <t xml:space="preserve">
</t>
        </r>
        <r>
          <rPr>
            <sz val="10"/>
            <color rgb="FF000000"/>
            <rFont val="Arial"/>
            <family val="2"/>
          </rPr>
          <t>Tast her månedslønnen i 12 kroner.</t>
        </r>
        <r>
          <rPr>
            <sz val="10"/>
            <color rgb="FF000000"/>
            <rFont val="Arial"/>
            <family val="2"/>
          </rPr>
          <t xml:space="preserve">
</t>
        </r>
      </text>
    </comment>
    <comment ref="AT8" authorId="0" shapeId="0" xr:uid="{6C60F9B5-3619-0D42-AEFF-51B1C63E9A8C}">
      <text>
        <r>
          <rPr>
            <b/>
            <sz val="10"/>
            <color rgb="FF000000"/>
            <rFont val="Tahoma"/>
            <family val="2"/>
          </rPr>
          <t>Tove Dohn:</t>
        </r>
        <r>
          <rPr>
            <sz val="10"/>
            <color rgb="FF000000"/>
            <rFont val="Tahoma"/>
            <family val="2"/>
          </rPr>
          <t xml:space="preserve">
</t>
        </r>
        <r>
          <rPr>
            <sz val="10"/>
            <color rgb="FF000000"/>
            <rFont val="Arial"/>
            <family val="2"/>
          </rPr>
          <t xml:space="preserve">Tast her månedslønnen i 12 kroner.
</t>
        </r>
      </text>
    </comment>
    <comment ref="AU8" authorId="0" shapeId="0" xr:uid="{96EE9951-2C57-BF42-9FAD-D0EABDF8FE73}">
      <text>
        <r>
          <rPr>
            <b/>
            <sz val="10"/>
            <color rgb="FF000000"/>
            <rFont val="Tahoma"/>
            <family val="2"/>
          </rPr>
          <t>Tove Dohn:</t>
        </r>
        <r>
          <rPr>
            <sz val="10"/>
            <color rgb="FF000000"/>
            <rFont val="Tahoma"/>
            <family val="2"/>
          </rPr>
          <t xml:space="preserve">
</t>
        </r>
        <r>
          <rPr>
            <sz val="10"/>
            <color rgb="FF000000"/>
            <rFont val="Arial"/>
            <family val="2"/>
          </rPr>
          <t xml:space="preserve">Tast her månedslønnen i 12 kroner.
</t>
        </r>
      </text>
    </comment>
    <comment ref="A28" authorId="0" shapeId="0" xr:uid="{35A65F89-1772-1B40-8BAD-B10691E18304}">
      <text>
        <r>
          <rPr>
            <b/>
            <sz val="10"/>
            <color rgb="FF000000"/>
            <rFont val="Tahoma"/>
            <family val="2"/>
          </rPr>
          <t>Tove Dohn:</t>
        </r>
        <r>
          <rPr>
            <sz val="10"/>
            <color rgb="FF000000"/>
            <rFont val="Tahoma"/>
            <family val="2"/>
          </rPr>
          <t xml:space="preserve">
</t>
        </r>
        <r>
          <rPr>
            <sz val="10"/>
            <color rgb="FF000000"/>
            <rFont val="Tahoma"/>
            <family val="2"/>
          </rPr>
          <t xml:space="preserve">Overenskomsttillæg til pædagoger: kr. 2.000,- i årlig grundværdi.
</t>
        </r>
        <r>
          <rPr>
            <sz val="10"/>
            <color rgb="FF000000"/>
            <rFont val="Tahoma"/>
            <family val="2"/>
          </rPr>
          <t xml:space="preserve">Overenskomsttillæg til pædagogiske assistenter: kr. 5.500,- i årlig grundværdi.
</t>
        </r>
        <r>
          <rPr>
            <sz val="10"/>
            <color rgb="FF000000"/>
            <rFont val="Tahoma"/>
            <family val="2"/>
          </rPr>
          <t xml:space="preserve">Overenskomsttillæg til pædagogmedhjælpere kr. 4.000,- i årlig grundværdi.
</t>
        </r>
        <r>
          <rPr>
            <sz val="10"/>
            <color rgb="FF000000"/>
            <rFont val="Tahoma"/>
            <family val="2"/>
          </rPr>
          <t xml:space="preserve">
</t>
        </r>
        <r>
          <rPr>
            <sz val="10"/>
            <color rgb="FF000000"/>
            <rFont val="Tahoma"/>
            <family val="2"/>
          </rPr>
          <t xml:space="preserve">3F
</t>
        </r>
        <r>
          <rPr>
            <sz val="10"/>
            <color rgb="FF000000"/>
            <rFont val="Tahoma"/>
            <family val="2"/>
          </rPr>
          <t xml:space="preserve">Overenskomsttillæg til skalatrin 14: kr. 3.950,- i årlig grundværdi.
</t>
        </r>
        <r>
          <rPr>
            <sz val="10"/>
            <color rgb="FF000000"/>
            <rFont val="Tahoma"/>
            <family val="2"/>
          </rPr>
          <t xml:space="preserve">Overenskomsttillæg til skalatrin 17: kr. 2.280,- i årlig grundværdi.
</t>
        </r>
        <r>
          <rPr>
            <sz val="10"/>
            <color rgb="FF000000"/>
            <rFont val="Tahoma"/>
            <family val="2"/>
          </rPr>
          <t>Overenskomsttillæg til skalatrin 21: kr. 3.560, - i årlig grundværdi.</t>
        </r>
      </text>
    </comment>
    <comment ref="A73" authorId="0" shapeId="0" xr:uid="{F823FBE9-491C-8043-B62B-8F4CBE826AFC}">
      <text>
        <r>
          <rPr>
            <b/>
            <sz val="10"/>
            <color rgb="FF000000"/>
            <rFont val="Tahoma"/>
            <family val="2"/>
          </rPr>
          <t>Tove Dohn:</t>
        </r>
        <r>
          <rPr>
            <sz val="10"/>
            <color rgb="FF000000"/>
            <rFont val="Tahoma"/>
            <family val="2"/>
          </rPr>
          <t xml:space="preserve">
</t>
        </r>
        <r>
          <rPr>
            <sz val="10"/>
            <color rgb="FF000000"/>
            <rFont val="Arial"/>
            <family val="2"/>
          </rPr>
          <t>Tast her skolens udgift på feriepengeforpligtigelsen. Hvis fleksjobber på gl. ordning er skolens udgift typist 17%. Hvis fleksjobber på ny ordning er skolens udgift 50%</t>
        </r>
        <r>
          <rPr>
            <sz val="10"/>
            <color rgb="FF000000"/>
            <rFont val="Arial"/>
            <family val="2"/>
          </rPr>
          <t xml:space="preserve">
</t>
        </r>
      </text>
    </comment>
    <comment ref="B74" authorId="1" shapeId="0" xr:uid="{00000000-0006-0000-0800-000002000000}">
      <text>
        <t xml:space="preserve">[Trådet kommentar]
Din version af Excel lader dig læse denne trådede kommentar. Eventuelle ændringer vil dog blive fjernet, hvis filen åbnes i en nyere version af Excel. Få mere at vide: https://go.microsoft.com/fwlink/?linkid=870924
Kommentar:
    Hvis en ansat har mere end 1 kolonne pga. feks. lønændring, barsel eller fratrædelse skal kun oplyse skyldige feriedage i en af kolonnerne. </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tc={CE2744AF-F4E2-D446-97F9-4F7599637F9D}</author>
    <author>tc={181D65AC-B732-3642-B9B1-7EBE4E540F62}</author>
    <author>tc={B02B7958-3E4A-7841-8A55-DE33D8167A1E}</author>
    <author>tc={380510AB-B41A-614F-A30F-597F22F22FDE}</author>
  </authors>
  <commentList>
    <comment ref="E3" authorId="0" shapeId="0" xr:uid="{00000000-0006-0000-0B00-000001000000}">
      <text>
        <t>[Trådet kommentar]
Din version af Excel lader dig læse denne trådede kommentar. Eventuelle ændringer vil dog blive fjernet, hvis filen åbnes i en nyere version af Excel. Få mere at vide: https://go.microsoft.com/fwlink/?linkid=870924
Kommentar:
    Bruges særligt i forbindelse med opstart af daginstitution, hvor antallet af forældrebetalte rater i dette budgetår kan være lavere end i et helt almindeligt finansår.
Er daginstitutionen kørende og altså ikke nyopstartet skrives samme antal mdr. i begge celler.</t>
      </text>
    </comment>
    <comment ref="T3" authorId="1" shapeId="0" xr:uid="{00000000-0006-0000-0B00-000002000000}">
      <text>
        <t>[Trådet kommentar]
Din version af Excel lader dig læse denne trådede kommentar. Eventuelle ændringer vil dog blive fjernet, hvis filen åbnes i en nyere version af Excel. Få mere at vide: https://go.microsoft.com/fwlink/?linkid=870924
Kommentar:
    Bruges særligt i forbindelse med opstart af daginstitution, hvor antallet af kommunal betalte rater i dette budgetår kan være lavere end i et helt almindeligt finansår.
Er daginstitutionen kørende og altså ikke nyopstartet skrives samme antal mdr. i begge celler.</t>
      </text>
    </comment>
    <comment ref="E56" authorId="2" shapeId="0" xr:uid="{00000000-0006-0000-0B00-000003000000}">
      <text>
        <t>[Trådet kommentar]
Din version af Excel lader dig læse denne trådede kommentar. Eventuelle ændringer vil dog blive fjernet, hvis filen åbnes i en nyere version af Excel. Få mere at vide: https://go.microsoft.com/fwlink/?linkid=870924
Kommentar:
    Bruges særligt i forbindelse med opstart af daginstitution, hvor antallet af forældrebetalte rater i dette budgetår kan være lavere end i et helt almindeligt finansår.
Er daginstitutionen kørende og altså ikke nyopstartet skrives samme antal mdr. i begge celler.</t>
      </text>
    </comment>
    <comment ref="T56" authorId="3" shapeId="0" xr:uid="{00000000-0006-0000-0B00-000004000000}">
      <text>
        <t>[Trådet kommentar]
Din version af Excel lader dig læse denne trådede kommentar. Eventuelle ændringer vil dog blive fjernet, hvis filen åbnes i en nyere version af Excel. Få mere at vide: https://go.microsoft.com/fwlink/?linkid=870924
Kommentar:
    Bruges særligt i forbindelse med opstart af daginstitution, hvor antallet af kommunal betalte rater i dette budgetår kan være lavere end i et helt almindeligt finansår.
Er daginstitutionen kørende og altså ikke nyopstartet skrives samme antal mdr. i begge celler.</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Export file" type="6" refreshedVersion="0" background="1" saveData="1">
    <textPr sourceFile="Macintosh HD:Users:olemikke:Desktop:SLET:Export file" decimal="," thousands=".">
      <textFields count="3">
        <textField/>
        <textField/>
        <textField/>
      </textFields>
    </textPr>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<sst xmlns="http://schemas.openxmlformats.org/spreadsheetml/2006/main" count="3803" uniqueCount="1560">
  <si>
    <t>Kvikvejledning til budgetværktøjet.</t>
  </si>
  <si>
    <t>Tast KUN i de gule felter  - i de grå felter ligger der formler som IKKE må overskrives</t>
  </si>
  <si>
    <t>VEJLEDNING GENERELT:</t>
  </si>
  <si>
    <t xml:space="preserve">Øverst i hvert ark findes et grønt felt "Til Hovedskema" og "Elevprognose". Ved at klikke på disse felter hopper man straks tilbage til hhv. hovedskema og elevprognose. </t>
  </si>
  <si>
    <t>I arket "Hovedskema" er der yderst til venstre grønne felter, der leder til det ark, hvor indtægten eller udgiften stammer fra.</t>
  </si>
  <si>
    <t>SatsBilag: er et bilag hvor Friskolernes Hus har skrevet kendte og "ukendte" satser samt givet det bedste bud på fremskrivningsprocenter, som alle er nødevendige forudsætninger for at udarbejde et budget.</t>
  </si>
  <si>
    <t xml:space="preserve">Hovedskema: Budgettet for det kommende år samt året efter vises i hovedskemaet. Hovedskemaet er det skema der "samler" de indtastede oplysninger fra værktøjets øvrige ark. Hovedskemaet er bygget op, så den bedst muligt spejler sig op af den nye regnskabsbekendtgørelse. </t>
  </si>
  <si>
    <t>Indtast elevtalsoplysningerne for såvel skolebørn, SFO, heltids SFO samt daginstitution øverst i hovedskemaet(de gule felter).</t>
  </si>
  <si>
    <t>Indtast regnskabet fra skolens revisor vedr. sidste år i hovedskemaet. Bruges som sammenligningstal.</t>
  </si>
  <si>
    <t>Statstilskud: De indtastede oplysninger indtastet på "forsidearket" danner grundlag for statstilskuddet samt de forventede takster fra arket: "satsbilag". Tast selv forventede indtægter vedr. SPSU-tilskud(De gule felter)</t>
  </si>
  <si>
    <t>Skolepenge mv: Tast her alle oplysninger om priser, rater og antal elever pr. pris både ved skolepenge og SFO.(Bemærk SFO opdeles fra 0-3 klasse og fra 4. klasse og opefter). Såfremt antal elever/SFO-børn ikke stemmer overens med 5. september indberetning oplyst på arket "forside", vil der dukke en rød linie op som fortæller dette. Hvis skolen forventer at opkræver flere eller midre elever end 5. september, ses der bort fra denen røde advarsel. Ellers skal elevtal/SFO-tallet rettes således de stemmer overens med antalt pr. 5. september.  Nederst indtastes andre indtægter.</t>
  </si>
  <si>
    <t>Løn undervisning: Oplys her hvilke ledere, lærere/børnehaveklasseledere skolen forventer der er ansat på skolen i det kommende budgetår.  Hvilket løntrin/timeløn, pensionsform mm. Oplys også hvilke mdr. den enkelte er ansat. Skifter en ansat feks. basisløntrin i løbet af budgetåret, kan man lade læreren få to kolonner. En med feks basisløntrin 2 i 7 mdr., og med en stigning til basisløntrin 3 i de sidste 5 mdr. HUSK at ved lønrefusioner at skrive talene med et "minus" foran. Lønarket giver desuden mulighed for at vælge orlov, således der i en periode kun budgetteres med pension. De lønafhængige omkostninger (Samlet bidrag, ATP, Flex-bidrag mm udregner skemaet selv udfra årsværk og videreføres til fanen "administration").</t>
  </si>
  <si>
    <t>Løn Pæd., TAP mm: Bruges til lønbudget for skolens pædagoger i såvel SFO, daginstitution, heltidsskolefritidsordning, sekretær, pedel samt evt. kostafdeling.</t>
  </si>
  <si>
    <t>ÆNDRINGER I FORHOLD TIL SIDSTE ÅRS BUDGET:</t>
  </si>
  <si>
    <t>Supplerende oplysninger:</t>
  </si>
  <si>
    <t>Feriepengeforpligtigelse</t>
  </si>
  <si>
    <t>Den nye ferielov er nu fuldt ud implementeret, hvilket gør feriepengeforpligtigelsen nemmere at udregne.</t>
  </si>
  <si>
    <t>Lønkontering</t>
  </si>
  <si>
    <t>Ved siden af lønbudgettet for hhv. undervisere, Pædagoger/TAP personale er der mulighed for at få et overblik over de forskellige lønarter. Overblikket kan bruges til at kontere lønbudettet til skolens eget administrative program.</t>
  </si>
  <si>
    <t>Gode råd til check.</t>
  </si>
  <si>
    <t xml:space="preserve">Denne fane er en opsummering på hvilke oplysninger der er vigtigt at huske i sit budgetarbejde. Vi anbefaler at skolen printer denne side og forholder sig til den enten under budgetarbejdet og/eller efterfølgende. </t>
  </si>
  <si>
    <t>Forside</t>
  </si>
  <si>
    <t>Check her:</t>
  </si>
  <si>
    <t>Række 31 - at elevtallet stemmer til 5. september indberetning og de fremadrettede budgetterede elevtal.</t>
  </si>
  <si>
    <t>Række 33 -  hvis skolen har elever over 13 år. Check skolen har oplyst antal over 13 år. Gælder alle årene.</t>
  </si>
  <si>
    <t>Række 36 - Har skolen SPS-elever, oplyses her antal for alle årene.</t>
  </si>
  <si>
    <t>Række 38 - Har skolen SFO-elever check at de er oplyst i række 38 for alle årene.</t>
  </si>
  <si>
    <t>Række 39 - Har skolen Klub-elever check at de er oplyst i række 39 for alle årene</t>
  </si>
  <si>
    <t>Hovedskemaet</t>
  </si>
  <si>
    <t>Skolepenge</t>
  </si>
  <si>
    <t>Løn undervisning</t>
  </si>
  <si>
    <t>Orlov oplyses i række 11.</t>
  </si>
  <si>
    <t>(175 timers regel). Er den ansatte fyldt 60 år og ønsker at gøre brug af seniorordning med nedgang i arbejdstid og løn op til 175 timer, oplyses dette i række 12.</t>
  </si>
  <si>
    <t>Pensionsordning. Er den ansatte omfattet af anden pensionsordning end lærernes pension oplyses dette i række 15.</t>
  </si>
  <si>
    <t>Beskæftigelsesgraden oplyses i række 18.</t>
  </si>
  <si>
    <t>Undervisningstimer. De årlige planlagte undervisningstimer oplyses i række 20. Husk her at undervisningstimerne altid skal være beregnet på et helt skoleår. Har den ansatte 2 kolonner eller flere pga. skiftende bg., eller andet oplyses det årlige undervisningstimetal i alle kolonner. Er den ansatte både ansat som lærer og som børnehaveklasseleder oplyses det samlede årlige undervisningstimetal i den stilling hvor den ansatte har sin hovedbeskæftigelse, mens der i den anden står 0.</t>
  </si>
  <si>
    <t>Vikarer</t>
  </si>
  <si>
    <t>Har skolen udgifter til vikarer, skal skolen huske at budgettere med en udgift hertil enten med en månedslønnet budgettal eller som timelønnet.</t>
  </si>
  <si>
    <t>Refusioner</t>
  </si>
  <si>
    <t>Feriepenge forpligtigelse</t>
  </si>
  <si>
    <t>Løn pæd., TAP mm</t>
  </si>
  <si>
    <t>Da ikke alle skoler har tiltrådt overenskomst indenfor det pædagogiske, tekniske og administrative personale skal skolen selv oplyse alt.</t>
  </si>
  <si>
    <t>For at budgettet automatisk udregner trepartstillæg og OK-tillæg til BUPL/FOA er det vigtigt at skolen i række 7 indefor det pædagogiske vælger den rette ansættelse. Ved Hk og 3F tastes titel selv.</t>
  </si>
  <si>
    <t>Skalatrinsløn oplyses i række 8.</t>
  </si>
  <si>
    <t>Orlov fuldtid. Er den ansatte på orlov fuldtid oplyses dette i række 16.</t>
  </si>
  <si>
    <t>Delvis orlov. Er den ansatte på delvis orlov, men med fuld pension oplyses dette i række 17.</t>
  </si>
  <si>
    <t>Pensionsprocent oplyses i række 20.</t>
  </si>
  <si>
    <t>Egetbidrag pension. Betaler skolen ikke den ansattes egetbidrag af pension vælges der nej i række 21.</t>
  </si>
  <si>
    <t>Beskæftigelsesgrad oplyses i række 24.</t>
  </si>
  <si>
    <t>Decentrale løntillæg oplyses i række 31-37. Tillæggene oplyses altid i årligt grundbeløb.</t>
  </si>
  <si>
    <t>I række 39 og 40 er det muligt at oplyse månedlige tillæg der ikke reguleres med reguleringsprocenten og ikke er pensionsgivende.</t>
  </si>
  <si>
    <t>Gruppelivsbetaling oplyses i række 41.</t>
  </si>
  <si>
    <t>Diæter tastes i årlig nutidsværdi i række 49.</t>
  </si>
  <si>
    <t>Særlige feriedage der udbetales, eller særlige feriedage og feriedage der afregnes ved fratræden oplyses i række 52</t>
  </si>
  <si>
    <t xml:space="preserve">Heltids-SFO </t>
  </si>
  <si>
    <t>Heltids-SFO, før-SFO, forårs-SFO tastes i fanen "Heltids-SFO". Tast elevtal pr. mdr., forældrebetaling, evt. kommunalt tilskud og øvrige indtægter og udgifter.</t>
  </si>
  <si>
    <t>Daginstitutioner</t>
  </si>
  <si>
    <t>Daginstitiutionsoplysninger tastes i fanen "daginstitution" Tast børnetal pr. mdr., forældrebetaling, kommunalt tilskud og øvrige indtægter og udgifter. VIGTIGT: oplys antal mdr. i budgetåret og antal mdr. for et helt finansår øverst, både hvad angår forældrebetaling og tilskud fra kommunen. Gælder både ved børnehaven og ved vuggestuen. Hvis det er en nystartet institution der starter op i budgetåret vil de to tal måske hedde 5 mdr. fra august - december men 11 eller 12 måneder i et helt finansår. Er det en ikke ny institution skal der stå 11 eller 12 måneder i såvel budgetår som et helt finansår.</t>
  </si>
  <si>
    <t>Driftsudgiftsfanerne: Undervisning/SFO, Ejendom, skolemadsordning og administration.</t>
  </si>
  <si>
    <t>Prioritetsrenter og afdrag oplyses i fanen "Prio" renter.</t>
  </si>
  <si>
    <t>SLUT</t>
  </si>
  <si>
    <t>Data til Budget</t>
  </si>
  <si>
    <t>navn ender på '_1'.</t>
  </si>
  <si>
    <t>Navn</t>
  </si>
  <si>
    <t>Prc</t>
  </si>
  <si>
    <t>PrcAar</t>
  </si>
  <si>
    <t xml:space="preserve">ATP A-satser 1. Januar </t>
  </si>
  <si>
    <t>ATP</t>
  </si>
  <si>
    <t>ATP timesats i alt</t>
  </si>
  <si>
    <t>Gruppelivstakst</t>
  </si>
  <si>
    <t>Gr.liv</t>
  </si>
  <si>
    <t>Gruppeliv øvrige ansatte</t>
  </si>
  <si>
    <t>Gr.livAndre</t>
  </si>
  <si>
    <t>Grundtilskud til højst 40 elever pr. skole</t>
  </si>
  <si>
    <t>Grundtilsk</t>
  </si>
  <si>
    <t>Fællesudgiftstaxameter til de føste 220 elever</t>
  </si>
  <si>
    <t>FaeUdgSmaa</t>
  </si>
  <si>
    <t>Fællesudgiftstaxameter til den 221. elev og efterfølgende</t>
  </si>
  <si>
    <t>FaeUdgStore</t>
  </si>
  <si>
    <t>Undervisningstaxameter til elever under 13 år</t>
  </si>
  <si>
    <t>UvtaxU13</t>
  </si>
  <si>
    <t>Undervisningstaxameter til elever over 13 år - ekskl. 10. kl.</t>
  </si>
  <si>
    <t>UvtaxO13</t>
  </si>
  <si>
    <t>Undervisningstaxameter til elever i 10. kl.</t>
  </si>
  <si>
    <t>UvTax10kl</t>
  </si>
  <si>
    <t>Inklusionstilskud, grundtilskud</t>
  </si>
  <si>
    <t>InklGrund</t>
  </si>
  <si>
    <t>Ikke-pensionsgivende flydende tillæg(beløb i 12,- kroner pr. 60 min. klokketime)</t>
  </si>
  <si>
    <t>FlydTill</t>
  </si>
  <si>
    <t xml:space="preserve">Bygningstilskud </t>
  </si>
  <si>
    <t>Bygtilsk</t>
  </si>
  <si>
    <t>SFO-tilskud pr. barn 2025</t>
  </si>
  <si>
    <t>SFOtilsk</t>
  </si>
  <si>
    <t>SFO-tilskud pr. barn 2026 - forventer uændret takst</t>
  </si>
  <si>
    <t>Flexjobbidrag samt bidrag til barselsfonden</t>
  </si>
  <si>
    <t>FlexBidr</t>
  </si>
  <si>
    <t>BarselBidr</t>
  </si>
  <si>
    <t>Kontingent pr. elev nr. 0 - 220 til Dansk Friskoleforening</t>
  </si>
  <si>
    <t>DFkont</t>
  </si>
  <si>
    <t>Kontingent pr. elev fra nr. 221 til Dansk Friskoleforening</t>
  </si>
  <si>
    <t>Kampagnebidrag pr. elev</t>
  </si>
  <si>
    <t>Grundbeløb pr. skole til Dansk friskoleforening</t>
  </si>
  <si>
    <t>Kontingent daginstituion - Dansk friskoleforening, pr. barn</t>
  </si>
  <si>
    <t>Vik.kas</t>
  </si>
  <si>
    <t>Tilsynshonorar for skoler med op til 55 elever</t>
  </si>
  <si>
    <t>Tilsyn1</t>
  </si>
  <si>
    <t>Tilsynshonorar for skoler med 55-109 elever</t>
  </si>
  <si>
    <t>Tilsyn2</t>
  </si>
  <si>
    <t>Tilsynshonorar for skoler med over 110-219 elever</t>
  </si>
  <si>
    <t>Tilsyn3</t>
  </si>
  <si>
    <t>Tilsynshonorar for skoler med over 219 elever</t>
  </si>
  <si>
    <t>Tilsyn4</t>
  </si>
  <si>
    <t>Fremskr</t>
  </si>
  <si>
    <t>FremskrStatst</t>
  </si>
  <si>
    <t>Da2sprTax</t>
  </si>
  <si>
    <t>PrakMedhTax</t>
  </si>
  <si>
    <t>1. elev</t>
  </si>
  <si>
    <t>2. elev</t>
  </si>
  <si>
    <t>3. elev og følgende elever</t>
  </si>
  <si>
    <t>Tillægstakst til elev nr. 13 og følgende - på godkendte profilskoler</t>
  </si>
  <si>
    <t>Budgetforslag</t>
  </si>
  <si>
    <t>Omfatter skoleårene</t>
  </si>
  <si>
    <t>Indtast institutionsnummer:</t>
  </si>
  <si>
    <t>x</t>
  </si>
  <si>
    <t>LS</t>
  </si>
  <si>
    <r>
      <t xml:space="preserve">Vælg x såfremt skolen har min. 13 elever med et specialundervisningsbehov på min 12 ugentlige lektioner, OG så-fremt skolen er </t>
    </r>
    <r>
      <rPr>
        <b/>
        <sz val="10"/>
        <rFont val="Arial"/>
        <family val="2"/>
      </rPr>
      <t xml:space="preserve"> godkend</t>
    </r>
    <r>
      <rPr>
        <sz val="10"/>
        <rFont val="Arial"/>
        <family val="2"/>
      </rPr>
      <t>t som profilskole.</t>
    </r>
  </si>
  <si>
    <t>Stedtillægsområde:</t>
  </si>
  <si>
    <t>ELEVPROGNOSE</t>
  </si>
  <si>
    <t>Historiske elevtal' er ikke nødvendige.</t>
  </si>
  <si>
    <t>Klasser</t>
  </si>
  <si>
    <t>Elevtal 5.</t>
  </si>
  <si>
    <t>Bhkl.</t>
  </si>
  <si>
    <t>1. kl.</t>
  </si>
  <si>
    <t>2. kl.</t>
  </si>
  <si>
    <t>3. kl.</t>
  </si>
  <si>
    <t>4. kl.</t>
  </si>
  <si>
    <t>5. kl.</t>
  </si>
  <si>
    <t>6. kl.</t>
  </si>
  <si>
    <t>7. kl.</t>
  </si>
  <si>
    <t>8. kl.</t>
  </si>
  <si>
    <t>9. kl.</t>
  </si>
  <si>
    <t>10. kl.</t>
  </si>
  <si>
    <t>Samlet elevtal</t>
  </si>
  <si>
    <t>Under 13 år</t>
  </si>
  <si>
    <r>
      <t xml:space="preserve">13 år og derover </t>
    </r>
    <r>
      <rPr>
        <sz val="10"/>
        <color theme="1"/>
        <rFont val="Arial"/>
        <family val="2"/>
      </rPr>
      <t>(ikke 10.kl.)</t>
    </r>
  </si>
  <si>
    <t>10. klasse 5/9</t>
  </si>
  <si>
    <t>10. klasse 5/2</t>
  </si>
  <si>
    <t>Antal "SPS" elever</t>
  </si>
  <si>
    <t>Bhkl. - 3. kl.</t>
  </si>
  <si>
    <t>SFO 0. - 3. klasse</t>
  </si>
  <si>
    <t>Klub fra 4. klasse og opefter</t>
  </si>
  <si>
    <t>HOVEDSKEMA</t>
  </si>
  <si>
    <t>Konto</t>
  </si>
  <si>
    <t>Indtast skolens reviderede regnskab</t>
  </si>
  <si>
    <t>Indtast forventet resultat!</t>
  </si>
  <si>
    <t>Bilag side</t>
  </si>
  <si>
    <t>Elever bh.kl. - 10.kl</t>
  </si>
  <si>
    <t>Årselever i skolen</t>
  </si>
  <si>
    <t>Elever i SFO, tilskudsberettigede</t>
  </si>
  <si>
    <t>Heltids SFO børn</t>
  </si>
  <si>
    <t>Børnehavebørn</t>
  </si>
  <si>
    <t>Vuggestuebørn</t>
  </si>
  <si>
    <t>STATSTILSKUD</t>
  </si>
  <si>
    <t>Generelt statstilskud</t>
  </si>
  <si>
    <t>Øvrige statstilskud(Bygning, SPS, SFO)</t>
  </si>
  <si>
    <t>SKOLEPENGE OG BETALING FOR PASNINGSORDNINGER</t>
  </si>
  <si>
    <t>Skolepenge grundskolen - netto</t>
  </si>
  <si>
    <t>Skolefritidsordningsbetaling, netto(0. - 3. klasse)</t>
  </si>
  <si>
    <t>Klubbetaling 4. klasse og opefter</t>
  </si>
  <si>
    <t>Børnehavebetaling</t>
  </si>
  <si>
    <t>Vuggestuebetaling</t>
  </si>
  <si>
    <t>Heltidsskolefritidsordningsbetaling</t>
  </si>
  <si>
    <t>Andre forældrebetalte indtægter - skole</t>
  </si>
  <si>
    <t>ANDRE INDTÆGTER OG TILSKUD</t>
  </si>
  <si>
    <t>Kommunale tilskud SFO (0-3 klasse)</t>
  </si>
  <si>
    <t>Kommunale tilskud klub fra 4. klasse og opefter</t>
  </si>
  <si>
    <t>Kommunale tilskud, børnehave</t>
  </si>
  <si>
    <t>Kommunale tilskud, vuggestue</t>
  </si>
  <si>
    <t>Kommunale tilskud , heltidskolefritidsordning</t>
  </si>
  <si>
    <t>Andre indtægter og tilskud</t>
  </si>
  <si>
    <t>Omsætning i alt:</t>
  </si>
  <si>
    <t>LØN OG ANDRE OMKOSTNINGER VEDR. UNDERVISNING OG PASNINGSORDNINGER:</t>
  </si>
  <si>
    <t>Løn, undervisning inkl. feriepengeforpligtigelse</t>
  </si>
  <si>
    <t>Lønrefusioner vedr. undervisning</t>
  </si>
  <si>
    <t>Løn, skolefritidsordning inkl. Feriepengeforpligtigelse</t>
  </si>
  <si>
    <t>Lønrefusioner vedr. SFO</t>
  </si>
  <si>
    <t>Løn, heltidsskolefritidsordning inkl. Feriepengeforpligtigelse</t>
  </si>
  <si>
    <t>Lønrefusioner vedr. heltidsskolefritidsordning</t>
  </si>
  <si>
    <t>Lønudgifter daginstitution inkl. Feriepengeforpligtigelse</t>
  </si>
  <si>
    <t>Lønrefusioner vedr. daginstitution</t>
  </si>
  <si>
    <t>Andre udgifter vedr. undervisning</t>
  </si>
  <si>
    <t>Andre udgifter vedr. SFO</t>
  </si>
  <si>
    <t>Andre udgifter vedr. dagtilbud</t>
  </si>
  <si>
    <t>Andre udgifter vedr. heltidsskolefritidsordning</t>
  </si>
  <si>
    <t>Løn og andre omkostninger vedr. undervisning og pasningsordniger i alt</t>
  </si>
  <si>
    <t>EJENDOMSUDGIFTER VEDR. UNDERVISNING OG PASNINGSORDNINGER:</t>
  </si>
  <si>
    <t>Løn, rengøring og pedel inkl. Feriepengeforpligtigelse</t>
  </si>
  <si>
    <t>Lønrefusioner reng./ pedel</t>
  </si>
  <si>
    <t>Lokaleleje</t>
  </si>
  <si>
    <t>Skatter og forsikring</t>
  </si>
  <si>
    <t>Varme, el, vand og rengøring</t>
  </si>
  <si>
    <t>Vedligeholdelse</t>
  </si>
  <si>
    <t>Øvrige ejendomsomkostninger</t>
  </si>
  <si>
    <t>Afskrivninger Ejendom</t>
  </si>
  <si>
    <t xml:space="preserve">EJENDOMSUDGIFTER  I ALT:  </t>
  </si>
  <si>
    <t>UDGIFTER TIL KOSTAFDELING, KANTINEDRIFT OG SKOLEMADSORDNING</t>
  </si>
  <si>
    <t>Lønomk. Kostafdeling, kantine og skolemadsordning inkl. Fp.forpligtigelse</t>
  </si>
  <si>
    <t>Lønrefusioner vedr.mad/Kantine</t>
  </si>
  <si>
    <t>Øvrige udgifter Mad/Kantine</t>
  </si>
  <si>
    <t>Afskrivninger Mad/Kantine</t>
  </si>
  <si>
    <t xml:space="preserve">KOSTAFDELING  I ALT:  </t>
  </si>
  <si>
    <t>UDGIFTER TIL ADMINISTRATION:</t>
  </si>
  <si>
    <t>Løn administrativt personale inkl. Feriepengeforpligtigelse</t>
  </si>
  <si>
    <t>Lønrefusion administration</t>
  </si>
  <si>
    <t>Andre omkostninger administration</t>
  </si>
  <si>
    <t>Afskrivning Administration</t>
  </si>
  <si>
    <t>ADMINISTRATIONSUDGIFTER I ALT:</t>
  </si>
  <si>
    <t>OMKOSTNINGER  I ALT</t>
  </si>
  <si>
    <t>RESULTAT FØR FINASIELLE POSTER</t>
  </si>
  <si>
    <t>FINANSIELLE POSTER</t>
  </si>
  <si>
    <t>Renteindtægter, konti</t>
  </si>
  <si>
    <t>Renter m.v., værdipapirer</t>
  </si>
  <si>
    <t>Realiserede kursgevinster.</t>
  </si>
  <si>
    <t>FINANSIELLE INDTÆGER M.V.</t>
  </si>
  <si>
    <t>Prioritetsrenter(Tastes som et positivt tal)</t>
  </si>
  <si>
    <t>Renteudgifter, vedr. kassekredit m.v.(Tastes som et positivt tal)</t>
  </si>
  <si>
    <t>Realiserede og urealiserede kurstab(Tastes som et positivt tal)</t>
  </si>
  <si>
    <t>FINANSIELLE OMKOSTNINGER M.V.</t>
  </si>
  <si>
    <t>FINANSIELLE POSTER I ALT</t>
  </si>
  <si>
    <t>RESULTAT før ekstraordinære post</t>
  </si>
  <si>
    <t>Ekstraordinære indtægter</t>
  </si>
  <si>
    <t>Ekstraordinære udgifter - tastes som et positivt tal</t>
  </si>
  <si>
    <t>EKSTRAORDINÆRE poster i alt</t>
  </si>
  <si>
    <t>ÅRETS RESULTAT</t>
  </si>
  <si>
    <t>Pengestrøm</t>
  </si>
  <si>
    <t>BALANCE</t>
  </si>
  <si>
    <t>Ejendomme</t>
  </si>
  <si>
    <t>Inventar og udstyr, undervisning</t>
  </si>
  <si>
    <t>Inventar og udstyr, administration</t>
  </si>
  <si>
    <t>Bus m.v.</t>
  </si>
  <si>
    <t>Deposita, Bankaktier</t>
  </si>
  <si>
    <t>Andele i forsyningsvirksomheder</t>
  </si>
  <si>
    <t>ANLÆGSAKTIVER I ALT:</t>
  </si>
  <si>
    <t>Tilgodehavender</t>
  </si>
  <si>
    <t>Forudbetalte udgifter</t>
  </si>
  <si>
    <t>Værdipapirer</t>
  </si>
  <si>
    <t>Likvide beholdninger</t>
  </si>
  <si>
    <t>OMSÆTNINGSAKTIVER I ALT:</t>
  </si>
  <si>
    <t>AKTIVER I ALT:</t>
  </si>
  <si>
    <t xml:space="preserve">EGENKAPITAL 31/12 </t>
  </si>
  <si>
    <t>Langfristet gæld</t>
  </si>
  <si>
    <t>Kortfristet gæld</t>
  </si>
  <si>
    <t>Kassekredit   (del af kortfristet gæld)</t>
  </si>
  <si>
    <t>Henlæggelser (del af egenkapital)</t>
  </si>
  <si>
    <t>Forud modtagne indtægter (del af kortfr. gæld)</t>
  </si>
  <si>
    <t>Gæld i alt</t>
  </si>
  <si>
    <t>PASSIVER I ALT:</t>
  </si>
  <si>
    <t>LIKVIDITET:</t>
  </si>
  <si>
    <t>Driftskapital</t>
  </si>
  <si>
    <t>Likviditetsgrad</t>
  </si>
  <si>
    <t>Pengestrømsopgørelse</t>
  </si>
  <si>
    <t>Årets resultat</t>
  </si>
  <si>
    <t>Depositum</t>
  </si>
  <si>
    <t>Ændring i feriepengeforpligtigelse undervisning</t>
  </si>
  <si>
    <t>Ændring i feriepengeforpligtigelse SFO</t>
  </si>
  <si>
    <t>Ændring i feriepengeforpligtigelse ejendom</t>
  </si>
  <si>
    <t>Ændring i feriepengeforpligtigelse kostafd.</t>
  </si>
  <si>
    <t>Ændring i feriepengeforpligtigelse administration</t>
  </si>
  <si>
    <t>Ændring i feriepengeforpligtigelse daginstitution</t>
  </si>
  <si>
    <t>Ændring i feriepengeforpligtigelse heltidsskolefritidsordning</t>
  </si>
  <si>
    <t>Ændringer i Feriepengeforpligtigelse i alt</t>
  </si>
  <si>
    <t>AFSKRIVNINGER</t>
  </si>
  <si>
    <t>Afskrivninger Undervisning</t>
  </si>
  <si>
    <t>Afskrivninger SFO</t>
  </si>
  <si>
    <t>Afskrivning Daginstitution</t>
  </si>
  <si>
    <t>Afskrivninger Kostafdeling</t>
  </si>
  <si>
    <t>Afskrivninger Administration</t>
  </si>
  <si>
    <t>Realiserede kurstab</t>
  </si>
  <si>
    <t>Afskrivninger i alt</t>
  </si>
  <si>
    <t>Afdrag på lån</t>
  </si>
  <si>
    <t>Årets Pengestrøm:</t>
  </si>
  <si>
    <t>skoleår</t>
  </si>
  <si>
    <t>kalender-dage</t>
  </si>
  <si>
    <t>lø/søndage</t>
  </si>
  <si>
    <t>SH-dage</t>
  </si>
  <si>
    <t>sommer-ferie-start</t>
  </si>
  <si>
    <t>sommer-ferie-slut</t>
  </si>
  <si>
    <t>ferie-dage</t>
  </si>
  <si>
    <t>arbejds-dage</t>
  </si>
  <si>
    <t>årsnorm</t>
  </si>
  <si>
    <t>2004/05</t>
  </si>
  <si>
    <t>2005/06</t>
  </si>
  <si>
    <t>2006/07</t>
  </si>
  <si>
    <t>2007/08</t>
  </si>
  <si>
    <t>2008/09</t>
  </si>
  <si>
    <t>2009/10</t>
  </si>
  <si>
    <t>2010/11</t>
  </si>
  <si>
    <t>2011/12</t>
  </si>
  <si>
    <t>2012/13</t>
  </si>
  <si>
    <t>2013/14</t>
  </si>
  <si>
    <t>2014/15</t>
  </si>
  <si>
    <t>2015/16</t>
  </si>
  <si>
    <t>2016/17</t>
  </si>
  <si>
    <t>2017/18</t>
  </si>
  <si>
    <t>2018/19</t>
  </si>
  <si>
    <t>2019/20</t>
  </si>
  <si>
    <t>Hvis ferien forskydes, skal der sørges for, at antallet af feriedage i et ferieår, 1. maj til 30. april, stadig er på 25 dage.</t>
  </si>
  <si>
    <t>Derved kan antallet af feriedage i et skoleår i en overgangsperiode blive på færre eller flere feriedage.</t>
  </si>
  <si>
    <t>Se fx årene 2006/07 og 2007/08.</t>
  </si>
  <si>
    <t>Det er ligegyldigt for antallet af arbejdsdage og dermed årsnormen, hvis ferien forskydes inden for ferieåret, fx den ene uge i august til oktober.</t>
  </si>
  <si>
    <t>BEREGNING AF STATSTILSKUD</t>
  </si>
  <si>
    <t xml:space="preserve">Skolens elevtal </t>
  </si>
  <si>
    <t>Elever u. 13:</t>
  </si>
  <si>
    <t>Elever o. 13:</t>
  </si>
  <si>
    <t xml:space="preserve">10. klasse </t>
  </si>
  <si>
    <t>Fællesudgiftstilskud</t>
  </si>
  <si>
    <t>Takst1 0 - 220 elever</t>
  </si>
  <si>
    <t>elever</t>
  </si>
  <si>
    <t>Takst2  220 - ∞</t>
  </si>
  <si>
    <t>Undervisningstilskud</t>
  </si>
  <si>
    <t>Elever på under 13 år</t>
  </si>
  <si>
    <t>Elever på 13 år og derover under 10. kl.</t>
  </si>
  <si>
    <t>10.kl.elever</t>
  </si>
  <si>
    <t>Regionalfaktor</t>
  </si>
  <si>
    <t>(1 for stedtillægsområde 2 og 3, og 1,02 for std.omr. 4-6)</t>
  </si>
  <si>
    <t>Driftstilskud incl. regionalisering</t>
  </si>
  <si>
    <t>Difference i elevtallet:</t>
  </si>
  <si>
    <t>*5/12</t>
  </si>
  <si>
    <t>Takst2  221 - ∞</t>
  </si>
  <si>
    <t>Regulering i tilskud  incl. regionalisering</t>
  </si>
  <si>
    <t>Tilskud / elev:</t>
  </si>
  <si>
    <t>Øvrige statstilskud</t>
  </si>
  <si>
    <t>Inklusionstilskud</t>
  </si>
  <si>
    <t>Afhængig af skolestørrelse</t>
  </si>
  <si>
    <t>Sats</t>
  </si>
  <si>
    <t>I alt</t>
  </si>
  <si>
    <t>Bygningstilskud</t>
  </si>
  <si>
    <t>TAST SELV</t>
  </si>
  <si>
    <t>SFO-Tilskud</t>
  </si>
  <si>
    <t>Øvrige statstilskud i alt:</t>
  </si>
  <si>
    <t xml:space="preserve">Årselevtal: </t>
  </si>
  <si>
    <t xml:space="preserve">TAST SELV </t>
  </si>
  <si>
    <t>Kontonummer:</t>
  </si>
  <si>
    <t>A</t>
  </si>
  <si>
    <t>B</t>
  </si>
  <si>
    <t>C</t>
  </si>
  <si>
    <t>D</t>
  </si>
  <si>
    <t>E</t>
  </si>
  <si>
    <t>F</t>
  </si>
  <si>
    <t>G</t>
  </si>
  <si>
    <t>Barn nr. i fam.</t>
  </si>
  <si>
    <t>Skolepenge-sats pr. rate</t>
  </si>
  <si>
    <t>Moderation pr. rate</t>
  </si>
  <si>
    <t>Skolepenge netto-rate
A — B</t>
  </si>
  <si>
    <t>Antal børn</t>
  </si>
  <si>
    <t>Antal  rater</t>
  </si>
  <si>
    <t>Skolepenge-indtægt
C x D x E</t>
  </si>
  <si>
    <t>Samlet moderation
B x D x E</t>
  </si>
  <si>
    <t>1.</t>
  </si>
  <si>
    <t>2.</t>
  </si>
  <si>
    <t>3.</t>
  </si>
  <si>
    <t>4.</t>
  </si>
  <si>
    <t>5.</t>
  </si>
  <si>
    <t>6.</t>
  </si>
  <si>
    <t>7.</t>
  </si>
  <si>
    <t>8.</t>
  </si>
  <si>
    <t>9.</t>
  </si>
  <si>
    <t>10.</t>
  </si>
  <si>
    <t>SUM:</t>
  </si>
  <si>
    <t>Tilskud til nedbringelse af skolepenge fra fordelingssekretariatet  - OBS(Læs det med rødt)</t>
  </si>
  <si>
    <t>Må kun medtages i budgettet såfremt skolen i ovennævnte skolepengeindtægter har budgetteret med samme nedslag i skolepenge</t>
  </si>
  <si>
    <r>
      <rPr>
        <sz val="10"/>
        <color theme="1"/>
        <rFont val="Arial"/>
        <family val="2"/>
      </rPr>
      <t>Skolens evt. egen fripladspulje.</t>
    </r>
    <r>
      <rPr>
        <sz val="7"/>
        <color rgb="FFFF0000"/>
        <rFont val="Arial"/>
        <family val="2"/>
      </rPr>
      <t xml:space="preserve"> </t>
    </r>
    <r>
      <rPr>
        <sz val="6"/>
        <color rgb="FFFF0000"/>
        <rFont val="Arial"/>
        <family val="2"/>
      </rPr>
      <t>Tastes som et negativt beløb.</t>
    </r>
    <r>
      <rPr>
        <sz val="6"/>
        <color theme="1"/>
        <rFont val="Arial"/>
        <family val="2"/>
      </rPr>
      <t xml:space="preserve"> (Fripladspuljen må ikke være modregnet i ovennævnte skolepengesatser/moderationer)</t>
    </r>
  </si>
  <si>
    <t>SFO-sats pr. rate</t>
  </si>
  <si>
    <t>SFO netto-rate
A — B</t>
  </si>
  <si>
    <t>Antal årlige rater</t>
  </si>
  <si>
    <t>SFO-indtægt
C x D x E</t>
  </si>
  <si>
    <t>Tilskud til nedbringelse af SFO-betaling fra fordelingssekretariatet  - OBS(Læs det med rødt)</t>
  </si>
  <si>
    <t>Må kun medtages i budgettet såfremt skolen i ovennævnte SFO-indtægter har budgetteret med samme nedslag</t>
  </si>
  <si>
    <r>
      <t xml:space="preserve">Skolens evt. egen fripladspulje. </t>
    </r>
    <r>
      <rPr>
        <sz val="6"/>
        <color rgb="FFFF0000"/>
        <rFont val="Arial"/>
        <family val="2"/>
      </rPr>
      <t xml:space="preserve">Tastes som et negativt beløb. </t>
    </r>
    <r>
      <rPr>
        <sz val="6"/>
        <color theme="1"/>
        <rFont val="Arial"/>
        <family val="2"/>
      </rPr>
      <t>(Fripladspuljen må ikke være modregnet i ovennævnte skolepengesatser/moderationer)</t>
    </r>
  </si>
  <si>
    <t>SFO-penge i alt til hovedskema lin. 16</t>
  </si>
  <si>
    <t>1</t>
  </si>
  <si>
    <t>2</t>
  </si>
  <si>
    <t>3</t>
  </si>
  <si>
    <t>4</t>
  </si>
  <si>
    <t>5</t>
  </si>
  <si>
    <t>6</t>
  </si>
  <si>
    <t>SFO-penge i alt til hovedskema lin. 17</t>
  </si>
  <si>
    <t>ANDRE FORÆLDREBETALTE INDTÆGTER:</t>
  </si>
  <si>
    <t>nr.</t>
  </si>
  <si>
    <t>Art</t>
  </si>
  <si>
    <t>Konto nr.</t>
  </si>
  <si>
    <t>Depositum der senere skal tilbagebetales</t>
  </si>
  <si>
    <r>
      <t>Forældrebetaling børnehave</t>
    </r>
    <r>
      <rPr>
        <sz val="8"/>
        <rFont val="Arial"/>
        <family val="2"/>
      </rPr>
      <t>(Fra fanen daginstitution)</t>
    </r>
  </si>
  <si>
    <r>
      <t>Forældrebetaling vuggestue</t>
    </r>
    <r>
      <rPr>
        <sz val="8"/>
        <rFont val="Arial"/>
        <family val="2"/>
      </rPr>
      <t>(Fra fanen daginstitution)</t>
    </r>
  </si>
  <si>
    <r>
      <t>Forældrebetaling heltidsskolefritidsordning</t>
    </r>
    <r>
      <rPr>
        <sz val="8"/>
        <rFont val="Arial"/>
        <family val="2"/>
      </rPr>
      <t>(Fra fanen heltids SFO)</t>
    </r>
  </si>
  <si>
    <t>Betaling for materialer/sangbog</t>
  </si>
  <si>
    <t>Betaling for ekskursioner</t>
  </si>
  <si>
    <t>Betaling for rejser</t>
  </si>
  <si>
    <t>Buskørsel</t>
  </si>
  <si>
    <t>Indskrivningsgebyr</t>
  </si>
  <si>
    <t>Andre forældrebetalte indtægter til hovedskema lin. 18-21</t>
  </si>
  <si>
    <t>ANDRE INDTÆGTER OG TILSKUD:</t>
  </si>
  <si>
    <r>
      <t xml:space="preserve">Kommunale tilskud, børnehave </t>
    </r>
    <r>
      <rPr>
        <sz val="6"/>
        <rFont val="Arial"/>
        <family val="2"/>
      </rPr>
      <t>(fra fanen daginstitution)</t>
    </r>
  </si>
  <si>
    <r>
      <t xml:space="preserve">Kommunale tilskud, vuggestue </t>
    </r>
    <r>
      <rPr>
        <sz val="6"/>
        <rFont val="Arial"/>
        <family val="2"/>
      </rPr>
      <t>(fra fanen daginstitution)</t>
    </r>
  </si>
  <si>
    <r>
      <t xml:space="preserve">Kommunale tilskud heltidsskolefritidsordning </t>
    </r>
    <r>
      <rPr>
        <sz val="6"/>
        <rFont val="Arial"/>
        <family val="2"/>
      </rPr>
      <t>(Fra fanen heltids SFO)</t>
    </r>
  </si>
  <si>
    <r>
      <t xml:space="preserve">Øvrige indtægter vedr. børnehaven </t>
    </r>
    <r>
      <rPr>
        <sz val="6"/>
        <rFont val="Arial"/>
        <family val="2"/>
      </rPr>
      <t>(fra fanen daginstitution)</t>
    </r>
  </si>
  <si>
    <r>
      <t xml:space="preserve">Øvrige indtægter vedr. vuggestuen </t>
    </r>
    <r>
      <rPr>
        <sz val="6"/>
        <rFont val="Arial"/>
        <family val="2"/>
      </rPr>
      <t>(fra fanen daginstitution)</t>
    </r>
  </si>
  <si>
    <r>
      <t>Øvrige indtægter vedr. heltidsskolefritidsordning (</t>
    </r>
    <r>
      <rPr>
        <sz val="6"/>
        <rFont val="Arial"/>
        <family val="2"/>
      </rPr>
      <t>Fra fanen heltids SFO)</t>
    </r>
  </si>
  <si>
    <t>Kommunale tilskud til SFO (0. - 3. klasse)</t>
  </si>
  <si>
    <t>Kommunale tilskud til klub (4. klasse og opefter)</t>
  </si>
  <si>
    <t>Kommunale tilskud, støttekrævende elever i grundskolen</t>
  </si>
  <si>
    <t>Kommunale tilskud, støttekrævende elever SFO</t>
  </si>
  <si>
    <r>
      <t xml:space="preserve">Evt. SPS-tilskud  med tilbagevirkende kraft </t>
    </r>
    <r>
      <rPr>
        <sz val="8"/>
        <rFont val="Arial"/>
        <family val="2"/>
      </rPr>
      <t>(Kun for skoler uden beregningsgrundlag)</t>
    </r>
  </si>
  <si>
    <t>Tilskud fra kompentencefonden mm</t>
  </si>
  <si>
    <t>Lejeindtægter fra lokaler mv.</t>
  </si>
  <si>
    <t>Rengøring</t>
  </si>
  <si>
    <t>Ansattes betaling for lys og varme mv.</t>
  </si>
  <si>
    <t>Ansattes betaling for kost</t>
  </si>
  <si>
    <t>Salg fra kostafdeling/kantine</t>
  </si>
  <si>
    <t>Betaling for skolemad</t>
  </si>
  <si>
    <t>Kontingent skolekredsmedlemmer og lignende</t>
  </si>
  <si>
    <t>Donationer, grundskolen og SFO</t>
  </si>
  <si>
    <t>Kommunalt tilskud SFO/specialstøtte</t>
  </si>
  <si>
    <t>Kommunale tilskud, øvrige</t>
  </si>
  <si>
    <t>Tilskud fra kompetencefonden, Dansk Erhverv til efter- og videreuddannelse</t>
  </si>
  <si>
    <t>Indtægter vedr. Foredrag / arrangementer</t>
    <phoneticPr fontId="55" type="noConversion"/>
  </si>
  <si>
    <t>Arrangementer</t>
  </si>
  <si>
    <t>Sponsorløb</t>
  </si>
  <si>
    <t>Andre indtægter til hovedskema lin. 23-28</t>
  </si>
  <si>
    <t>Lærerløn</t>
  </si>
  <si>
    <t>Hvis der ønskes flere kolonner til lærere, kan der indsættes flere mellem viceleder og den sidste lærerkolonne. Prøv IKKE at indsætte EFTER den sidste kolonne! Kopier en af lærerkolonnerne og vælg herefter "indsæt kopierede celler".</t>
  </si>
  <si>
    <t>Titel</t>
  </si>
  <si>
    <t>Lærer</t>
  </si>
  <si>
    <t>Timelønnet</t>
  </si>
  <si>
    <t>basisløntrin  - For skolens øverste leder tastes årligt grundbeløb i 12 kr. For skolens mellemledere vælges en basisløn afhængig af elevantal. For skolens lærere og bh.kl.ledere vælges den enkeltes basisløn afhængig af anciennitet. For timelønnede - skriv timelønnen i 12 kr.</t>
  </si>
  <si>
    <t>Læ2</t>
  </si>
  <si>
    <t>Læ4</t>
  </si>
  <si>
    <t>Bh4</t>
  </si>
  <si>
    <t>Læ1</t>
  </si>
  <si>
    <t>Læ3</t>
  </si>
  <si>
    <t>basisløn for lærer (Læ) eller bhkl.leder (Bh). V. Timelønnede skriv timeløn i 12 kr.</t>
  </si>
  <si>
    <t>Konteringsforslag  ledere</t>
  </si>
  <si>
    <t>Konto nummer:</t>
  </si>
  <si>
    <t>Antal timer pr. mdr. KUN FOR TIMELØNNEDE LÆRER</t>
  </si>
  <si>
    <t>Intervalløn øverst leder</t>
  </si>
  <si>
    <t>Basisløn til mellemleder</t>
  </si>
  <si>
    <t>Funktionstillæg ledere</t>
  </si>
  <si>
    <t>Ansat antal måneder i året</t>
  </si>
  <si>
    <t>Kvalifikationstillæg ledere</t>
  </si>
  <si>
    <t>Nej</t>
  </si>
  <si>
    <t>Engangsvederlag ledere</t>
  </si>
  <si>
    <t>Orlov</t>
  </si>
  <si>
    <t>Udligningstillæg ledere</t>
  </si>
  <si>
    <t>Ja</t>
  </si>
  <si>
    <t>Pensionsordning</t>
  </si>
  <si>
    <t>L</t>
  </si>
  <si>
    <t>E42</t>
  </si>
  <si>
    <t>Pxx=P25, Exx=Efterlønskassen, L= Lærernes Pension (xx=skalatrin)
fx skalatrin 40 i P25: P40</t>
  </si>
  <si>
    <t>Kombineret</t>
  </si>
  <si>
    <t>Konteringsforslag lærere</t>
  </si>
  <si>
    <t>E40</t>
    <phoneticPr fontId="22" type="noConversion"/>
  </si>
  <si>
    <t>Procentregulering (beregnet gennemsnit)</t>
  </si>
  <si>
    <t>Lærere og bh.kl.ledere</t>
  </si>
  <si>
    <t>Stedtillægsområde</t>
  </si>
  <si>
    <t>skolens stedtillægsområde 2-6</t>
  </si>
  <si>
    <t>Basisløn</t>
  </si>
  <si>
    <t>Lønnet beskæftigelsesgrad. Ansat 100% skriv 1. Ansat 85% skriv 0,85</t>
  </si>
  <si>
    <t>iflg. ansættelsesbrev
eller pluslønsaftale (IKKE løbende overtid!)</t>
  </si>
  <si>
    <t>Områdetillæg</t>
  </si>
  <si>
    <t>Oplys her den oprindelige beskæftigelsesgrad der skal betales pension med. Udfyldes kun ved valg af seniordning eller kombineret forældreorlov og arbejde.</t>
  </si>
  <si>
    <t>Undervisningstimer - skriv her det årlige antal undervisningstimer. OBS: Hvis ikke ansat et helt skoleår skal undervisningstimerne fra delnormperioden opregnes til et helt skoleår.</t>
  </si>
  <si>
    <t>Iflg opgaveoversigt</t>
  </si>
  <si>
    <t>Undervisningstillæg</t>
  </si>
  <si>
    <t>Basisløngrundlag (v. 100% BG)</t>
  </si>
  <si>
    <t>opslag i løntabel</t>
  </si>
  <si>
    <t>OK-08</t>
  </si>
  <si>
    <t>Områdetillæg(Gives i område 3-6)</t>
  </si>
  <si>
    <t>OK-13</t>
  </si>
  <si>
    <t>tabelløn x BG (for ledere: intervalløn)</t>
  </si>
  <si>
    <t>OK-18</t>
  </si>
  <si>
    <t>pensionsgivende</t>
  </si>
  <si>
    <t xml:space="preserve">Funktionstillæg  </t>
  </si>
  <si>
    <t>altid pensionsgivende i LP</t>
  </si>
  <si>
    <t xml:space="preserve">Kvalifikationstillæg  </t>
  </si>
  <si>
    <t>pensionsgivende, indgår IKKE i garantitillægsberegningen</t>
  </si>
  <si>
    <t>Engangstillæg</t>
  </si>
  <si>
    <t>Trin-4 tillæg</t>
  </si>
  <si>
    <t>pensionsgivende, indgår i garantitillægsberegningen</t>
  </si>
  <si>
    <t xml:space="preserve">Udligningstillæg  </t>
  </si>
  <si>
    <t>Konteringsforslag alle ansatte</t>
  </si>
  <si>
    <t>Gruppeliv</t>
  </si>
  <si>
    <t>Pension</t>
  </si>
  <si>
    <t>SPS-tillæg</t>
  </si>
  <si>
    <t>OK08-tillæg</t>
  </si>
  <si>
    <t>Lokal aftalt ulempegodt.</t>
  </si>
  <si>
    <t>OK13-tillæg</t>
  </si>
  <si>
    <t>Ulempegodtgørelse</t>
  </si>
  <si>
    <t>Seniorbonus</t>
  </si>
  <si>
    <t>St. Bededagstillæg</t>
  </si>
  <si>
    <t>Suppl. pension i LP JA/NEJ. Gælder kun ansatte i efterlønskassen</t>
  </si>
  <si>
    <t>Hvis 'JA' beregnes for varige og midlertidige tillæg (lin. 14-20) pension i LP for personer med tjenestemandspension</t>
    <phoneticPr fontId="11"/>
  </si>
  <si>
    <t>Timedagpenge</t>
  </si>
  <si>
    <t>Er Engangsvederlag og eller resultatløn pensionsgivende?</t>
  </si>
  <si>
    <t>Særlig ferietillæg</t>
  </si>
  <si>
    <t>Er Udligningstillæg Pensionsgivende?</t>
  </si>
  <si>
    <t>Feriefridage - udbetaling</t>
  </si>
  <si>
    <t>Konteringsfoslag timelønnede</t>
  </si>
  <si>
    <t>ikke ledere</t>
  </si>
  <si>
    <t>Timelønede</t>
  </si>
  <si>
    <t>Feriepengeforpligtigelse betydning for drift</t>
  </si>
  <si>
    <t>Løn excl. pension</t>
  </si>
  <si>
    <t>Total lønudgift undervisning</t>
  </si>
  <si>
    <t>Pensionsgrundlag pr. måned (LP)</t>
  </si>
  <si>
    <t>Afstemning til budget planlægning</t>
  </si>
  <si>
    <t>Pensionsgrundlag pr. mdr. ved brug af seniorordning eller kombineret forældreorlov/arb</t>
  </si>
  <si>
    <t>Pensionstillæg (1/3 af pensionsindb. i alt) **)</t>
  </si>
  <si>
    <t>kun for lærere i Lærernes Pension</t>
  </si>
  <si>
    <t>Ekstra pension i tilfælde af at medarbejderen er på seniorordning eller er på kombineret arbejde og forældreorlov</t>
  </si>
  <si>
    <t>Løn incl. pensionstillæg pr. md.</t>
  </si>
  <si>
    <t>P25- eller bidrag til efterlønskassen</t>
  </si>
  <si>
    <t>efter gl. regler ("skyggeforløb")</t>
  </si>
  <si>
    <t>Ekstra bidrag til P25 eller efterlønskassen pga. brug af seniorordning eller kombineret arbejde/forældreorlov</t>
  </si>
  <si>
    <t>Indbetaling til Lærernes Pension **)</t>
  </si>
  <si>
    <t>ATP, samlet indbetaling</t>
  </si>
  <si>
    <t>A-satser.</t>
  </si>
  <si>
    <t>Skolens lønudgifter pr. måned</t>
  </si>
  <si>
    <t>Ulempe og weekendtillæg i alt</t>
  </si>
  <si>
    <t>Ny seniorbonusordning - dette tal bruges til år 2 i budgettet og regner hvis nej i år 1 og ja i år 2</t>
  </si>
  <si>
    <t>Seniorbonus - 0,8% af de fastpåregnelige løndele</t>
  </si>
  <si>
    <t>Lønrefusioner vedr. ledere, lærere og børnehaveklasseledere</t>
  </si>
  <si>
    <r>
      <t xml:space="preserve">(Indtast som et samlet beløb pr år) </t>
    </r>
    <r>
      <rPr>
        <sz val="12"/>
        <color rgb="FFFF0000"/>
        <rFont val="Helvetica"/>
        <family val="2"/>
      </rPr>
      <t xml:space="preserve">HUSK AT SKRIVE SOM NEGATIVE BELØB </t>
    </r>
  </si>
  <si>
    <t>Tilskud til sygeundervisning(Fra fordelingssekretariatet) - se tilskudssatser FSKR</t>
  </si>
  <si>
    <t>Tilskud fra Fleksjobordningen(50% af lønudgiften)</t>
  </si>
  <si>
    <t>Kommunalt tilskud til flex (For ansatte under den gamle flexjobordning) Check flexaftale</t>
  </si>
  <si>
    <t>Øvrige tilskud vedr. løn</t>
  </si>
  <si>
    <r>
      <t xml:space="preserve">Feriepengeforpligtigelse  vedr. ledere, lærere og børnehaveklasseledere. </t>
    </r>
    <r>
      <rPr>
        <sz val="16"/>
        <color rgb="FFFF0000"/>
        <rFont val="Helvetica"/>
        <family val="2"/>
      </rPr>
      <t xml:space="preserve">OBS: Har en ansat mere end 1 lønkolonne(feks. pga. lønændring, orlov eller fratrædelse), skal skolen kun oplyse forpligtigelse i en kolonne. </t>
    </r>
  </si>
  <si>
    <t>Skolen har normalt 100% feriepengeforpligtigelse. MEN er der tale om en ansat i flexjob er forpligtigelsen mindre. Oplys her skolens forpligtigelse. Er det en fleksjob ansat i den gl. Ordning før 2013 er refusionssatsen typisk 83% hvilket gør at skolen har en forpligtigelse på 17%. Er det en ansat i fleksjob efter 1. jan. 2013 er skolens forpligtigelse 50%.</t>
  </si>
  <si>
    <t xml:space="preserve">Ferieberettiget løn pr. 31. december 2023. DET ER VIGTIGT DER OPLYSES EN HEL MÅNEDS LØN. (hvis ikke der sker ændring i lønnen kan lønnen aflæses allerede i september/oktober mdr.) </t>
  </si>
  <si>
    <t>100% pensionsindbetaling pr. 31. december 2023. DET ER VIGTIGT PENSIONSINDBETALINGEN VEDR. EN HEL MÅNEDS INDBETALING. (Hvis ikke der sker ændring i lønnen kan pensionsindbetalingen aflæses allerede i september/oktober mdr.)</t>
  </si>
  <si>
    <t>Skolens bidrag til ATP december 2021. (Kan også aflæses i september/oktober mdr.)</t>
  </si>
  <si>
    <t>Ferietillæg 2,02 % optjent september-december 2024</t>
  </si>
  <si>
    <t>Regulering i feriepengeforpligtigelse</t>
  </si>
  <si>
    <t>Antal mdr * BG.</t>
  </si>
  <si>
    <t>Lønafhængige lønudgifter overført til fanen "administration"</t>
  </si>
  <si>
    <t>*) Herunder varige (funktions)tillæg, der ydes til bestemte løntrin eller generelt</t>
  </si>
  <si>
    <r>
      <t xml:space="preserve">**) for ansatte med pension i Efterlønskassen eller P25 </t>
    </r>
    <r>
      <rPr>
        <i/>
        <sz val="10"/>
        <color indexed="16"/>
        <rFont val="Helv"/>
      </rPr>
      <t>kan</t>
    </r>
    <r>
      <rPr>
        <sz val="10"/>
        <color indexed="16"/>
        <rFont val="Helv"/>
      </rPr>
      <t xml:space="preserve"> der aftales supplerende pension af varige (og midlertidige) tillæg (bortset fra udligningstillæg) i Lærernes Pension. Gælder også intervalløn.</t>
    </r>
  </si>
  <si>
    <t>læ:   0-650, bh:   0-750</t>
  </si>
  <si>
    <t>JA</t>
  </si>
  <si>
    <t>læ: 650-700, bh: 750-800</t>
  </si>
  <si>
    <t>NEJ</t>
  </si>
  <si>
    <t>læ: 700-750, bh: 800-835</t>
  </si>
  <si>
    <t xml:space="preserve">læ: 750-   , bh: 835-   </t>
  </si>
  <si>
    <t>Intervalløn</t>
  </si>
  <si>
    <t>Basisløn leder</t>
  </si>
  <si>
    <t>UV-tillæg</t>
  </si>
  <si>
    <t>Timeløn</t>
  </si>
  <si>
    <t>OK-08  tillæg</t>
  </si>
  <si>
    <t>OK-13  tillæg</t>
  </si>
  <si>
    <t>OK-18  tillæg</t>
  </si>
  <si>
    <t>Tillæg BH.kl.</t>
  </si>
  <si>
    <t>Funktionstillæg</t>
  </si>
  <si>
    <t>Kvalifikationstillæg</t>
  </si>
  <si>
    <t>Udligningstillæg</t>
  </si>
  <si>
    <t>Trin 4-tillæg</t>
  </si>
  <si>
    <t>SF</t>
  </si>
  <si>
    <t>Diæter</t>
  </si>
  <si>
    <t>Lokal fast aftalt ulempe</t>
  </si>
  <si>
    <t>Ulempe godtg.</t>
  </si>
  <si>
    <t>Hvis der ønskes flere kolonner til, kan der indsættes flere mellem første og sidste personale i hvert "ansættelsesområde"Sæt ALDRIG EFTER den sidste ansatte i hvert "ansættelseskategori". Kopier èn enkelt kolonne af gangen og "indsæt kopierede celler".</t>
  </si>
  <si>
    <t>lønudgift for skalatrinslønnede samt timelønnede ansatte i SFO, daginstitution, heltidskolefritidsordning, pedel/rengøring, administration samt kostafdeling</t>
  </si>
  <si>
    <t>Pædagogisk personale</t>
  </si>
  <si>
    <t>Administration</t>
  </si>
  <si>
    <t>Ejendom</t>
  </si>
  <si>
    <t>Kostafdeling</t>
  </si>
  <si>
    <t>Daginstitution</t>
  </si>
  <si>
    <t>Mdr. lønnede i skolens SFO og klub</t>
  </si>
  <si>
    <t>Timelønnede pædagoger i SFO og klub</t>
  </si>
  <si>
    <t>Mdr. lønnede i daginstitution</t>
  </si>
  <si>
    <t>Timelønnede pædagoger i daginstitution</t>
  </si>
  <si>
    <t>Mdr. lønnede i skolens heltids-SFO</t>
  </si>
  <si>
    <t>Timelønnede pædagoger i heltids-SFO</t>
  </si>
  <si>
    <r>
      <t xml:space="preserve">Mdr. lønnede pædagoger ansat i skolen </t>
    </r>
    <r>
      <rPr>
        <sz val="14"/>
        <color rgb="FFC00000"/>
        <rFont val="Courier"/>
        <family val="1"/>
      </rPr>
      <t>(KUN til praktisk støtte).</t>
    </r>
  </si>
  <si>
    <t>Timelønnede pædagoger i skolen</t>
  </si>
  <si>
    <t>Mdr. lønnede administrativ personale</t>
  </si>
  <si>
    <t>Timelønnede adm.personale</t>
  </si>
  <si>
    <t>Mdr. lønnede pedel og rengøring</t>
  </si>
  <si>
    <t>Timelønnede pedel og rengøring</t>
  </si>
  <si>
    <t>Månedslønnede i kostafdeling</t>
  </si>
  <si>
    <t>Timelønnede i kostafd.</t>
  </si>
  <si>
    <t>SFO leder</t>
  </si>
  <si>
    <t>Pædagog</t>
  </si>
  <si>
    <t>Vikarpulje</t>
  </si>
  <si>
    <t>Timeløn 2</t>
  </si>
  <si>
    <t>Timeløn 1</t>
  </si>
  <si>
    <t>Adm.</t>
  </si>
  <si>
    <t>Timeløn sekr. 1</t>
  </si>
  <si>
    <t>Timeløn sekr. 2</t>
  </si>
  <si>
    <t>Pedel</t>
  </si>
  <si>
    <t>Timeløn ejendom 2</t>
  </si>
  <si>
    <t>Kost</t>
  </si>
  <si>
    <t>Timeløn Kostafd. 1</t>
  </si>
  <si>
    <t>Timeløn Kostafd. 2</t>
  </si>
  <si>
    <t>Konteringsforslag SFO</t>
  </si>
  <si>
    <t>Beløb</t>
  </si>
  <si>
    <t>Konteringsforslag Daginstitution</t>
  </si>
  <si>
    <t>Konteringsforslag Heltids-SFO</t>
  </si>
  <si>
    <t>Konteringsforslag Administration</t>
  </si>
  <si>
    <t>Konteringsforslag Ejendom</t>
  </si>
  <si>
    <t>Konteringsforslag kostafdeling</t>
  </si>
  <si>
    <t>Konteringsforslag pædagogiske personale i skolen</t>
  </si>
  <si>
    <t>Vælg stillingsberegnelse ved pædagogisk personale. Ved HK og 3F - tast selv</t>
  </si>
  <si>
    <t>Afdelingsleder</t>
  </si>
  <si>
    <t>Pædagogmedhjælper</t>
  </si>
  <si>
    <t>Pædagogisk assistent</t>
  </si>
  <si>
    <t xml:space="preserve">Skalatrin </t>
  </si>
  <si>
    <t>pæd</t>
  </si>
  <si>
    <t>Skalaløn - leder</t>
  </si>
  <si>
    <t>Pædagogisk personale - skalatrinsløn</t>
  </si>
  <si>
    <t>Skalatrinsløn</t>
  </si>
  <si>
    <t>Timeløn - oplyses i 12 kr.</t>
  </si>
  <si>
    <t>Ledertillæg</t>
  </si>
  <si>
    <t>Trepart</t>
  </si>
  <si>
    <t>Trepartstillæg</t>
  </si>
  <si>
    <t>Antal timer pr. mdr.(Kun for timelønnede)</t>
  </si>
  <si>
    <t>Resultatløn</t>
  </si>
  <si>
    <t>OK21 tillæg</t>
  </si>
  <si>
    <t>OK21-tillæg</t>
  </si>
  <si>
    <t>Mdr. tillæg</t>
  </si>
  <si>
    <t>Fælles vedr. administration</t>
  </si>
  <si>
    <t>Fælles vedr. ejendom</t>
  </si>
  <si>
    <t>Fælles vedr. kostafdeling</t>
  </si>
  <si>
    <t>Fælles vedr. Heltids-SFO</t>
  </si>
  <si>
    <t>Fælles vedr. pædagogisk personale i skolen</t>
  </si>
  <si>
    <t>Ikke uddannet</t>
  </si>
  <si>
    <t>Pensionsprocent</t>
  </si>
  <si>
    <t>skriv ikke procenttegnet</t>
  </si>
  <si>
    <t>Særlige feriedage</t>
  </si>
  <si>
    <t>Betaler skolen egetbidraget til pensionen?</t>
  </si>
  <si>
    <t>Fælles vedr. SFO</t>
  </si>
  <si>
    <t>Fælles vedr. daginstitution</t>
  </si>
  <si>
    <t>Procentregulering. Gennemsnit for året.</t>
  </si>
  <si>
    <t>skolens stedtillægsområde 2-6. Rettes på lærerarket.</t>
  </si>
  <si>
    <t>Seniorbonusordning</t>
  </si>
  <si>
    <t>iflg. ansættelsesbrev</t>
  </si>
  <si>
    <t>Total lønudgift administratiion</t>
  </si>
  <si>
    <t>Total lønudgift Ejendom</t>
  </si>
  <si>
    <t>Total lønudgift kostafdeling</t>
  </si>
  <si>
    <t>Oplys her den oprindelige beskæftigelsesgrad der skal betales pension med. Udfyldes kun ved kombineret forældreorlov og arbejde.</t>
  </si>
  <si>
    <t>Total lønudgift Heltids-SFO</t>
  </si>
  <si>
    <t>Total lønudgift pædagogisk personale i skolen</t>
  </si>
  <si>
    <t>Tabelløn/md.</t>
  </si>
  <si>
    <t>opslag i løntabel incl stedtillæg</t>
  </si>
  <si>
    <t>Tabelløn x BG</t>
  </si>
  <si>
    <t>Trepartstillæg. Beregnes automatisk til pædagoger og afdelingsledere</t>
  </si>
  <si>
    <t>Ledertillæg. Årligt grundbeløb kr. 4.500,-</t>
  </si>
  <si>
    <t>ikke pensionsgivende ikke afhængig af BG</t>
  </si>
  <si>
    <t>Total lønudgift SFO</t>
  </si>
  <si>
    <t>Total lønudgift daginstitution</t>
  </si>
  <si>
    <t>pensionsgivende ikke afhængig af BG</t>
  </si>
  <si>
    <t>Årlige tillæg (lin 28-37) omregnet til mdl tiillæg</t>
  </si>
  <si>
    <t>Månedligt tillæg, ikke pensionsg., ikke regul.</t>
  </si>
  <si>
    <t>ikke pensionsgivende ikke reguleret</t>
  </si>
  <si>
    <t>ikke pensionsgivende</t>
  </si>
  <si>
    <t xml:space="preserve">Egetbidrag til pension eller pensionstillæg </t>
  </si>
  <si>
    <t>1/3 af pensionsindbetalingen</t>
  </si>
  <si>
    <t>Evt. ekstra pensionstillæg i forbindelse med delvis arbejde og orlov</t>
  </si>
  <si>
    <t>løn incl. Pensionstillæg</t>
  </si>
  <si>
    <t>Samlet indbetaling til Pension</t>
  </si>
  <si>
    <t>A-satser</t>
  </si>
  <si>
    <r>
      <t xml:space="preserve">Lønrefusioner </t>
    </r>
    <r>
      <rPr>
        <sz val="9"/>
        <rFont val="Helvetica"/>
        <family val="2"/>
      </rPr>
      <t xml:space="preserve">(Indsæt Samlet beløb pr år) </t>
    </r>
    <r>
      <rPr>
        <sz val="9"/>
        <color rgb="FFFF0000"/>
        <rFont val="Helvetica"/>
        <family val="2"/>
      </rPr>
      <t>HUSK AT SKRIVE SOM NEGATIVE BELØB</t>
    </r>
  </si>
  <si>
    <t>Fleksjobordningen(kun skolens ansatte) 50% af lønudgiften</t>
  </si>
  <si>
    <t>Kommunalt tilskud til undervisning / Flex(se refusionsats fra kommunen)</t>
  </si>
  <si>
    <t>I alt pr. år til hovedskema 2017</t>
  </si>
  <si>
    <r>
      <t xml:space="preserve">Feriepengeforpligtigelse  vedr. pædaoger, teknisk og adm. persoanle. </t>
    </r>
    <r>
      <rPr>
        <sz val="16"/>
        <color rgb="FFFF0000"/>
        <rFont val="Helvetica"/>
        <family val="2"/>
      </rPr>
      <t xml:space="preserve">OBS: Har en ansat mere end 1 lønkolonne(feks. pga. lønændring, orlov eller fratrædelse), skal skolen kun oplyse forpligtigelse i en kolonne. </t>
    </r>
  </si>
  <si>
    <t>I alt til hovedskema</t>
  </si>
  <si>
    <t>Lederløn</t>
  </si>
  <si>
    <t>OK-21 tillæg</t>
  </si>
  <si>
    <t>Diæter - Time og dagpenge</t>
  </si>
  <si>
    <t>Sum</t>
  </si>
  <si>
    <t>Dif</t>
  </si>
  <si>
    <t>Undervisningsudgifter</t>
  </si>
  <si>
    <t>Kan undlades. Videreføres ikke til hovedskema.</t>
  </si>
  <si>
    <t>Budgetår</t>
  </si>
  <si>
    <t>Nr.</t>
  </si>
  <si>
    <t>Kto.nr</t>
  </si>
  <si>
    <t>Undervisningsmaterialer inklusiv bøger mv.</t>
  </si>
  <si>
    <t>Indskoling</t>
  </si>
  <si>
    <t>Dansk</t>
  </si>
  <si>
    <t>Matematik</t>
  </si>
  <si>
    <t>Specialundervisning</t>
  </si>
  <si>
    <t>Tysk</t>
  </si>
  <si>
    <t>Engelsk</t>
  </si>
  <si>
    <t>Fysik/kemi-natur/teknik</t>
  </si>
  <si>
    <t>Geografi/biologi</t>
  </si>
  <si>
    <t>Hæfter, lim, mapper m.v.</t>
  </si>
  <si>
    <t>Emneuger</t>
  </si>
  <si>
    <t>Krea</t>
  </si>
  <si>
    <t>Sløjd</t>
  </si>
  <si>
    <t>Madlavning</t>
  </si>
  <si>
    <t>Sangbog</t>
  </si>
  <si>
    <t>Musik</t>
  </si>
  <si>
    <t>SUM, undervisningsmaterialer</t>
  </si>
  <si>
    <t>Fotokopiering</t>
  </si>
  <si>
    <t>Copydan</t>
  </si>
  <si>
    <t>Kopiering</t>
  </si>
  <si>
    <t>SUM, fotokopiering</t>
  </si>
  <si>
    <t>Lejrskoler, rejser og ekskursioner</t>
  </si>
  <si>
    <t>Lejrskole</t>
  </si>
  <si>
    <t>Ekskursioner</t>
  </si>
  <si>
    <t>SUM, lejrskoler, rejser og ekskursioner</t>
  </si>
  <si>
    <t>Befordringsudgifter inkl. drift af busser(vedr. uv.) Netto</t>
  </si>
  <si>
    <t>Leje af bus</t>
  </si>
  <si>
    <t>Andre udgifter</t>
  </si>
  <si>
    <t>Driftomkostninger Bus</t>
  </si>
  <si>
    <t>Tilskud til bef. ved brobygning - tastes som et minustal</t>
  </si>
  <si>
    <t xml:space="preserve">SUM, Befordringsudgifter </t>
  </si>
  <si>
    <t>Befordring mellem skole og hjem - Netto</t>
  </si>
  <si>
    <t>Køb af buskort</t>
  </si>
  <si>
    <t>Tilskud til befordring til syge elever(FSKR)Tast i minus</t>
  </si>
  <si>
    <t>Tilskud til nedsættelse af bef.udgifter(FSKR) Tast i minus</t>
  </si>
  <si>
    <t>Tilskud til bef. af svært hanidcappede elever(FSKR) Tast i minus</t>
  </si>
  <si>
    <t>Egendækning vedr. befordring - Tast i minus</t>
  </si>
  <si>
    <t>SUM, Befordring mellem skole og hjem</t>
  </si>
  <si>
    <t>Pædagogiske kurser, Netto</t>
  </si>
  <si>
    <t>Efter og videreuddannelse</t>
  </si>
  <si>
    <t>Pædagogiske dage</t>
  </si>
  <si>
    <t>Landsmøde Friskoleforeningen</t>
  </si>
  <si>
    <t>Tilskud til læreres kursusdeltagelse(FSKR) Tast i minus</t>
  </si>
  <si>
    <t>Tilskud til certificering af tilsynsførende og tilsyn(FSKR)</t>
  </si>
  <si>
    <t>SUM, Pædagogiske kurser</t>
  </si>
  <si>
    <t>Tjenesterejser</t>
  </si>
  <si>
    <t>Anslået</t>
  </si>
  <si>
    <t>SUM, Tjenesterejser</t>
  </si>
  <si>
    <t>Inventar og udstyr</t>
  </si>
  <si>
    <t>Inventar og udstyr, leje og leasing</t>
  </si>
  <si>
    <t>Inventar og udstyr, småanskaffelser</t>
  </si>
  <si>
    <t>Inventar og udstyr, vedligeholdelse</t>
  </si>
  <si>
    <t>Pianostemning</t>
  </si>
  <si>
    <t xml:space="preserve">SUM, Inventar og udstyr </t>
  </si>
  <si>
    <t>Afskrivning undervisning</t>
  </si>
  <si>
    <t>Afskrivning</t>
  </si>
  <si>
    <t>BUS</t>
  </si>
  <si>
    <t>SUM, Afskrivning vedr. undervisning</t>
  </si>
  <si>
    <t>IT-omkostninger</t>
  </si>
  <si>
    <t>Abonnementer</t>
  </si>
  <si>
    <t>Licenser</t>
  </si>
  <si>
    <t>Programmer</t>
  </si>
  <si>
    <t>Skoleintra</t>
  </si>
  <si>
    <t>SUM, IT-omkostninger</t>
  </si>
  <si>
    <t>Køb af hjælpemidler til elever med særlige behov</t>
  </si>
  <si>
    <t>It-rygsæk</t>
  </si>
  <si>
    <t>Tilskud til hjælpemidler til elever med særlige behov.  (SPSU) Skriv som negativ beløb.</t>
  </si>
  <si>
    <t>SUM, Hjælpemidler til elever med særlige behov</t>
  </si>
  <si>
    <t>Øvrige omkostninger</t>
  </si>
  <si>
    <t>Møder og arrangementer</t>
  </si>
  <si>
    <t>Skolefrugt</t>
  </si>
  <si>
    <t>Diverse</t>
  </si>
  <si>
    <t>SUM, Øvrige omkostninger</t>
  </si>
  <si>
    <t xml:space="preserve">Tilsynsførende honorar </t>
  </si>
  <si>
    <t>SUM, tilsynaførende</t>
  </si>
  <si>
    <t>Udgifter til SFO</t>
  </si>
  <si>
    <t>Materialer</t>
  </si>
  <si>
    <t>Mad og drikkevarer</t>
  </si>
  <si>
    <t>Pædagogiske kurser</t>
  </si>
  <si>
    <t>It-omkostninger(abonnementer, licenser og programmer)</t>
  </si>
  <si>
    <t>Afskrivning SFO</t>
  </si>
  <si>
    <t>Konto-nummer</t>
  </si>
  <si>
    <t>Forældrebetaling</t>
  </si>
  <si>
    <t>Kommunalt tilskud</t>
  </si>
  <si>
    <t>Antal børn der opkræves på opdelt pr. måned</t>
  </si>
  <si>
    <t>Indtægt i alt</t>
  </si>
  <si>
    <t>Pris</t>
  </si>
  <si>
    <t>Kommunalt tilskud pr. barn</t>
  </si>
  <si>
    <t>Jan.</t>
  </si>
  <si>
    <t>Feb.</t>
  </si>
  <si>
    <t>Mar.</t>
  </si>
  <si>
    <t>Apr.</t>
  </si>
  <si>
    <t xml:space="preserve">Maj </t>
  </si>
  <si>
    <t>Jun.</t>
  </si>
  <si>
    <t>Juli Forældrebetalte børn</t>
  </si>
  <si>
    <t>Juli Kommunalbetalte børn</t>
  </si>
  <si>
    <t>Forældrebet. I alt</t>
  </si>
  <si>
    <t>Kommunalt tilskud i alt</t>
  </si>
  <si>
    <t>Andre forældrebetalte indtægter Heltids SFO</t>
  </si>
  <si>
    <t>Øvrige indtægter vedr. Heltids SFO i alt(Hovedskema linie 20)</t>
  </si>
  <si>
    <t>Øvrige indtæger vedr. Heltids SFO:</t>
  </si>
  <si>
    <t>Donationer</t>
  </si>
  <si>
    <t>Øvrige indtægter vedr. Heltids SFO i alt(Hovedskema linie 28)</t>
  </si>
  <si>
    <t>INDTÆGTER HELTIDS SFO I ALT</t>
  </si>
  <si>
    <t>Kontonr.</t>
  </si>
  <si>
    <t>UDGIFTER</t>
  </si>
  <si>
    <t xml:space="preserve">Løn </t>
  </si>
  <si>
    <t>Lønrefusioner vedr. heltids-SFO</t>
  </si>
  <si>
    <t>Lønafhængige omkostninger:</t>
  </si>
  <si>
    <t>Mad og drikke</t>
  </si>
  <si>
    <t>Inventar og udstyr, småanskaffelse</t>
  </si>
  <si>
    <t>Inventar og udstyr, vedligehold</t>
  </si>
  <si>
    <t>Inventar og udstyr, afskrivninger</t>
  </si>
  <si>
    <t>IT-omkostninger(Licens, prog)</t>
  </si>
  <si>
    <t>Øvrige omkosninger</t>
  </si>
  <si>
    <t>Udgifter i alt(Hovedskema linie 42)</t>
  </si>
  <si>
    <t xml:space="preserve">Årets resultat: </t>
  </si>
  <si>
    <t>Hvor mange forældrebetalte rater er der i dette budgetår:</t>
  </si>
  <si>
    <t>Hvor mange rater giver kommunen tilskud til i dette budgetår:</t>
  </si>
  <si>
    <t>Hvor mange forældrebetalte rater er der i et helt finansår:</t>
  </si>
  <si>
    <t>Hvor mange rater giver kommunen tilskud til i et helt finansår:</t>
  </si>
  <si>
    <t>Antal børn der opkræves opdelt pr. måned</t>
  </si>
  <si>
    <t xml:space="preserve">Børnehave pris pr. rate. </t>
  </si>
  <si>
    <t>Kommunalt driftstilskud pr. barn pr. mdr.</t>
  </si>
  <si>
    <t>Kommunalt adm.tilskud pr. barn pr. mdr.</t>
  </si>
  <si>
    <t>Kommunalt bygnings- tilskud pr. barn pr. mdr.</t>
  </si>
  <si>
    <t>Aug.</t>
  </si>
  <si>
    <t>Sep.</t>
  </si>
  <si>
    <t>Okt.</t>
  </si>
  <si>
    <t>Nov.</t>
  </si>
  <si>
    <t>Dec</t>
  </si>
  <si>
    <t>Andre forældrebetalte indtægter Børnehave</t>
  </si>
  <si>
    <t>Øvrige indtægter vedr. børnehaven i alt(Hovedskema linie 18)</t>
  </si>
  <si>
    <t>Øvrige indtægter vedr. børnehaven:</t>
  </si>
  <si>
    <t>Øvrige indtægter vedr. børnehaven i alt(Hovedskema linie 28)</t>
  </si>
  <si>
    <t xml:space="preserve">Vuggestue pris pr. rate. </t>
  </si>
  <si>
    <t>Andre forældrebetalte indtægter  i vuggestuen:</t>
  </si>
  <si>
    <t>Øvrige indtægter vedr. vuggestuen i alt(Hovedskema linie 19)</t>
  </si>
  <si>
    <t>Øvrige indtægter vedr. Vuggestuen:</t>
  </si>
  <si>
    <t>Øvrige indtægter vedr. vuggestuen i alt(Hovedskema linie 28)</t>
  </si>
  <si>
    <t>Lønudgifter Daginstitution:</t>
  </si>
  <si>
    <t>Gennemsnitlig minimumsnormeringsberegner for 2025 jf. budgettal</t>
  </si>
  <si>
    <t>Kto. nr.</t>
  </si>
  <si>
    <t>Lønudgifter fra arket Løn SFO TAP mv</t>
  </si>
  <si>
    <t>Lønudgifter daginstitution</t>
  </si>
  <si>
    <t>Lønafhængige omkostninger</t>
  </si>
  <si>
    <t>Minimumsnormering kræver antal ansatte</t>
  </si>
  <si>
    <t>Lønomkostninger i alt</t>
  </si>
  <si>
    <t>Materialer:</t>
  </si>
  <si>
    <t xml:space="preserve">Ændringer  </t>
  </si>
  <si>
    <t>Institutionen har jf. budget antal ansatte i alt</t>
  </si>
  <si>
    <t>Div. Materialer</t>
  </si>
  <si>
    <t>Er kravet om minimumsnormering opfyldt</t>
  </si>
  <si>
    <t>Legetøj</t>
  </si>
  <si>
    <t>Legeplads</t>
  </si>
  <si>
    <t>Ture i egen Bus</t>
  </si>
  <si>
    <t>Koloni</t>
  </si>
  <si>
    <t>Daglige aktiviteter i alt</t>
  </si>
  <si>
    <t>Forplejning spec:</t>
  </si>
  <si>
    <t>Frugt</t>
  </si>
  <si>
    <t>Madordning</t>
    <phoneticPr fontId="55" type="noConversion"/>
  </si>
  <si>
    <t>Forplejning i alt</t>
  </si>
  <si>
    <t>Personaleudgifter</t>
  </si>
  <si>
    <t>Efter- og videreuddannelse</t>
  </si>
  <si>
    <t>Personaleudgifter i alt</t>
  </si>
  <si>
    <t>Tjenesterejser vedr. pæd. personale</t>
  </si>
  <si>
    <t>Tjenesterejser i alt</t>
  </si>
  <si>
    <t>Inventar og udstyr - Dagtilbud</t>
  </si>
  <si>
    <t>Leje og leasing</t>
  </si>
  <si>
    <t>Småanskaffelser</t>
  </si>
  <si>
    <t>Inventar og udstyr i alt</t>
  </si>
  <si>
    <t>Afskrivninger  inventar og udstyr</t>
  </si>
  <si>
    <t>It-omkostninger vedr. daginstitution</t>
  </si>
  <si>
    <t>It-omkostninger i alt</t>
  </si>
  <si>
    <t>Øvrige omkostninger vedr. daginst.</t>
  </si>
  <si>
    <t>Øvrige omkostninger i alt</t>
  </si>
  <si>
    <t>Andre omkostninger vedr. dagtilbud - ovf. til hovedskemaet lin. 41</t>
  </si>
  <si>
    <t>Daginstitutionens resultat angivet i skolens årsrapport</t>
  </si>
  <si>
    <t>Øvrige udgifter</t>
  </si>
  <si>
    <t>Lejeomkostninger (faste lejemål)</t>
  </si>
  <si>
    <t xml:space="preserve">Ejendomsudgifter ifølge spec. </t>
  </si>
  <si>
    <t>Administrationsudgifter ifølge spec.</t>
  </si>
  <si>
    <t>Øvrige omk. I alt</t>
  </si>
  <si>
    <t>Financielle poster</t>
  </si>
  <si>
    <t xml:space="preserve">Renteindtægter (Fra fanen administration). </t>
  </si>
  <si>
    <t>Prioritetsrenter (Fra fanen administration).</t>
  </si>
  <si>
    <t>Renteudgifter (Fra fanen administration).</t>
  </si>
  <si>
    <t>Financielle poster i alt</t>
  </si>
  <si>
    <t>Andre lønudgifter</t>
  </si>
  <si>
    <t>Sekretær - tast selv daginstitutionens andel af lønudgiften til sekretær.</t>
  </si>
  <si>
    <t>Pedel og rengøring - tast selv daginstitutionens andel af lønudgiften til pedel og rengøring</t>
  </si>
  <si>
    <t>Kostafdeling - tast selv daginstitutionens andel af lønudgiften til kostafdelingen.</t>
  </si>
  <si>
    <t>Administration i alt</t>
  </si>
  <si>
    <t>Udgifter i alt</t>
  </si>
  <si>
    <t>Resultat daginstitution</t>
  </si>
  <si>
    <t>Udgifter vedr. ejendommen</t>
  </si>
  <si>
    <t>Kan undlades. Videreføres ikke til hovedskema</t>
  </si>
  <si>
    <t>Faste lejemål</t>
  </si>
  <si>
    <t>Skriv procent</t>
  </si>
  <si>
    <t>Bygninger</t>
  </si>
  <si>
    <t xml:space="preserve">                     </t>
  </si>
  <si>
    <t>SUM, faste lejemål</t>
  </si>
  <si>
    <t>Lejemål i alt</t>
  </si>
  <si>
    <t>Timelejemål</t>
  </si>
  <si>
    <t xml:space="preserve">Svømmehal </t>
  </si>
  <si>
    <t>Fysiklokale</t>
  </si>
  <si>
    <t>Halleje</t>
  </si>
  <si>
    <t>SUM, Timelejemål</t>
  </si>
  <si>
    <t>Ejendomsskat</t>
  </si>
  <si>
    <t>SUM, ejendomsskat</t>
  </si>
  <si>
    <t>Ejendomsforsikringer</t>
  </si>
  <si>
    <t>Bygning</t>
  </si>
  <si>
    <t>Løsøre</t>
  </si>
  <si>
    <t>Alarm</t>
  </si>
  <si>
    <t>SUM, ejendomsforsikringerl</t>
  </si>
  <si>
    <t>Varme</t>
  </si>
  <si>
    <t xml:space="preserve">Varme olie </t>
  </si>
  <si>
    <t>SUM, varme</t>
  </si>
  <si>
    <t>El</t>
  </si>
  <si>
    <t>EL</t>
  </si>
  <si>
    <t>SUM, el</t>
  </si>
  <si>
    <t>Vand</t>
  </si>
  <si>
    <t>Vandafledning</t>
  </si>
  <si>
    <t>SUM, vand</t>
  </si>
  <si>
    <t>Rengøring og renovation</t>
  </si>
  <si>
    <t>Rengøringsmidler</t>
  </si>
  <si>
    <t>Renovation</t>
  </si>
  <si>
    <t>SUM, rengøring og renovation</t>
  </si>
  <si>
    <t>Vedligeholdelse bygninger og arealer</t>
  </si>
  <si>
    <t>Vedligeholdelse udearealer</t>
  </si>
  <si>
    <t>Vedligeholdelse bygninger</t>
  </si>
  <si>
    <t>Ekstra ordinær vedligeholdelse</t>
  </si>
  <si>
    <t>Rep. Værktøj og maskiner</t>
  </si>
  <si>
    <t>Udsmykning</t>
  </si>
  <si>
    <t>Bygninger og arealer i alt til hovedskema lin. 50</t>
  </si>
  <si>
    <t>Alarmer</t>
  </si>
  <si>
    <t>SUM, øvrige omkostninger</t>
  </si>
  <si>
    <t>Kurser</t>
  </si>
  <si>
    <t>Pedelseminar</t>
  </si>
  <si>
    <t>SUM, kurser</t>
  </si>
  <si>
    <t>SUM, Inventar og udstyr</t>
  </si>
  <si>
    <t>Øvrige omk, kurser, tjenesterejser, mm. til hovedskema lin. 51</t>
  </si>
  <si>
    <t>Afskrivninger vedr. Ejendomsdrift</t>
  </si>
  <si>
    <t>Afskrivninger bygninger til scrapværdi 50% af xx mill</t>
  </si>
  <si>
    <t>SUM,Afskrivninger vedr.  Ejendomsudgifter</t>
  </si>
  <si>
    <t>I alt til daginstitutioner eks. Lejemål</t>
  </si>
  <si>
    <t>Afskrivninger vedr. ejendomsdrift til hovedskema lin. 52</t>
  </si>
  <si>
    <t>Omkostninger kostafd, kantinedrift og skolemadsordning</t>
  </si>
  <si>
    <t>Madvarer</t>
  </si>
  <si>
    <t xml:space="preserve">Ændring </t>
  </si>
  <si>
    <t>Evt. EU-tilskud fratrækkes - tastes som negativt beløb</t>
  </si>
  <si>
    <t>Fritidsaktiviteter/weekendarrangementer</t>
  </si>
  <si>
    <t>Øvrig omkostninger</t>
  </si>
  <si>
    <t>Omkostninger kostafd, kantinedrift og skolemad i alt. Hovedskema lin. 57</t>
  </si>
  <si>
    <t>Afskrivninger vedr. kostafdeling</t>
  </si>
  <si>
    <t>SUM, Afskrivninger kostafdeling. Hovedskema lin. 58</t>
  </si>
  <si>
    <t>Adminstrationsomkostninger</t>
  </si>
  <si>
    <t>Revision</t>
  </si>
  <si>
    <t>Regnskabsmæssig assistance</t>
  </si>
  <si>
    <t>EDB-lønbehandling og gebyr</t>
  </si>
  <si>
    <t>Konsulent</t>
    <phoneticPr fontId="55" type="noConversion"/>
  </si>
  <si>
    <t>Andre konsulenter</t>
  </si>
  <si>
    <t>Andre EDB-konsulenter</t>
  </si>
  <si>
    <t>Forsikringer (ej bygninger)</t>
  </si>
  <si>
    <t>Arbejdsskadeforsikring</t>
  </si>
  <si>
    <t>Ullykkesforsikring</t>
  </si>
  <si>
    <t>Erhvervsskadeforsikring</t>
  </si>
  <si>
    <t>Erhvervsforsikring</t>
  </si>
  <si>
    <t>Hjemrejseforsikring</t>
  </si>
  <si>
    <t>bestyrelsesansvar</t>
  </si>
  <si>
    <t>Markedsføring</t>
  </si>
  <si>
    <t>Årsskrift</t>
  </si>
  <si>
    <t>PR</t>
  </si>
  <si>
    <t xml:space="preserve">Annoncer </t>
  </si>
  <si>
    <t>Omkostninger ved ansættelse af personale</t>
  </si>
  <si>
    <t>Stillingsannoncer</t>
  </si>
  <si>
    <t>Personaleomkostninger</t>
  </si>
  <si>
    <t>Forplejning v. Interne arrangementer</t>
  </si>
  <si>
    <t>Julegaver</t>
  </si>
  <si>
    <t>Lejlighedsgaver</t>
  </si>
  <si>
    <t>Lægeattest</t>
  </si>
  <si>
    <t>Bestyrelsesomkostninger</t>
  </si>
  <si>
    <t>Bestyrelseskurser</t>
  </si>
  <si>
    <t>Årsmøder</t>
  </si>
  <si>
    <t>Budgetkursus</t>
  </si>
  <si>
    <t>Skoleårets planlægning</t>
  </si>
  <si>
    <t>Sikkerhedskurser</t>
  </si>
  <si>
    <t>Lovpligtige afgifter Personale</t>
  </si>
  <si>
    <t>Undervisning</t>
  </si>
  <si>
    <t>SFO</t>
  </si>
  <si>
    <t>Heltidsskolefritidsordning</t>
  </si>
  <si>
    <t>Kostafdeling/Kantine</t>
  </si>
  <si>
    <t>Repræsentation</t>
  </si>
  <si>
    <t>Kontorartikler, porto og telefon</t>
  </si>
  <si>
    <t>Div. Korntorartikler</t>
  </si>
  <si>
    <t>Porto</t>
  </si>
  <si>
    <t>Telefon</t>
  </si>
  <si>
    <t>Kontingent til skoleforeninger</t>
  </si>
  <si>
    <t>Kontingent Dansk friskoleforening(Grundbeløb, elevkontingent op til elev nr. 220 samt kampagnebidrag)</t>
  </si>
  <si>
    <t>Rabat - Kontingent Dansk friskoleforening(fra elev nr. 221)</t>
  </si>
  <si>
    <t>Kontingent daginstitution</t>
  </si>
  <si>
    <t>Bidrag til Fordelingssekretariatet</t>
  </si>
  <si>
    <t>Anskaffelse</t>
  </si>
  <si>
    <t>Vedligeholdelse af inventar m.m</t>
  </si>
  <si>
    <t>Skoleadministrationssystem</t>
  </si>
  <si>
    <t>Digitalisering</t>
  </si>
  <si>
    <t>Hjemmeside</t>
  </si>
  <si>
    <t>Nets</t>
  </si>
  <si>
    <t>Tab, debitorer</t>
  </si>
  <si>
    <t>Afskrivning skolepenge</t>
    <phoneticPr fontId="55" type="noConversion"/>
  </si>
  <si>
    <t>Afskrivninger vedr. administration</t>
  </si>
  <si>
    <t>SUM, Afskrivninger administration itil hovedskema lin. 64</t>
  </si>
  <si>
    <t>Øvrige adm. Udgifter</t>
  </si>
  <si>
    <t>Uddannelse af administration</t>
  </si>
  <si>
    <t>Adm. I alt ovf. til daginstitution</t>
  </si>
  <si>
    <t>Heraf Daginstitutionens andel:</t>
  </si>
  <si>
    <t>Finansielle indtægter</t>
  </si>
  <si>
    <t>Bank</t>
  </si>
  <si>
    <t>Giro</t>
  </si>
  <si>
    <t>Realiserede kursgevinster</t>
  </si>
  <si>
    <t>Til daginst.fanen</t>
  </si>
  <si>
    <t>Prioritetsrenter</t>
  </si>
  <si>
    <t>Kreditforening</t>
  </si>
  <si>
    <t>Statslån</t>
  </si>
  <si>
    <t>Andre lån</t>
  </si>
  <si>
    <t>Pantebrev</t>
  </si>
  <si>
    <t>Kassekredit</t>
  </si>
  <si>
    <t>Renteudgifter</t>
  </si>
  <si>
    <t>Morarenter m.v.</t>
  </si>
  <si>
    <t>Morarenter</t>
  </si>
  <si>
    <t>Rykkergebyr</t>
  </si>
  <si>
    <t>Kurstab</t>
  </si>
  <si>
    <t>Urealiserede kurstab</t>
  </si>
  <si>
    <t>Renteudgifter til fanen daginst.</t>
  </si>
  <si>
    <t>Særlige indtægter</t>
  </si>
  <si>
    <t>Særlige udgifter</t>
  </si>
  <si>
    <t>Hovedstol</t>
  </si>
  <si>
    <t>Startdato</t>
  </si>
  <si>
    <t xml:space="preserve">
Løbe-
tid</t>
  </si>
  <si>
    <t xml:space="preserve">
Rente-
fod</t>
  </si>
  <si>
    <t>Ter-
miner
/år</t>
  </si>
  <si>
    <t>Ann.
Serie
Mix</t>
  </si>
  <si>
    <t>Primo 
restgæld</t>
  </si>
  <si>
    <t>SUM, kreditfore.lån</t>
  </si>
  <si>
    <t xml:space="preserve">
Ann.</t>
  </si>
  <si>
    <t>SUM, statslån</t>
  </si>
  <si>
    <t>Friskolefonden</t>
  </si>
  <si>
    <t>Gældsbrev</t>
  </si>
  <si>
    <t>SUM, andre lån</t>
  </si>
  <si>
    <t>Nye lån</t>
  </si>
  <si>
    <t>SUM, nye lån</t>
  </si>
  <si>
    <t>TOTAL:</t>
  </si>
  <si>
    <t>Resultatopgørelse</t>
  </si>
  <si>
    <t>Regnskab</t>
  </si>
  <si>
    <t>BUDGET</t>
  </si>
  <si>
    <t>Årselever</t>
  </si>
  <si>
    <t>Elever SFO</t>
  </si>
  <si>
    <t>Statstilskud</t>
  </si>
  <si>
    <t>Tilskud fra fordelingsudvalg</t>
  </si>
  <si>
    <t>Skolepenge (Skole, SFO, Børnehave)</t>
  </si>
  <si>
    <t>Andre indtægter</t>
  </si>
  <si>
    <t xml:space="preserve">INDTÆGTER I ALT:  </t>
  </si>
  <si>
    <t>Løn, undervisning</t>
  </si>
  <si>
    <t>SFO+ evt. børnehave udgifter</t>
  </si>
  <si>
    <t xml:space="preserve">UNDERVISNING I ALT:   </t>
  </si>
  <si>
    <t xml:space="preserve">Løn, rengøring og pedel </t>
  </si>
  <si>
    <t>Andre omkostninger, ejendomsdrift</t>
  </si>
  <si>
    <t>Løn, Mad / Kantine - kostafdeling</t>
  </si>
  <si>
    <t>Andre udgifter Mad / Kantine - kostafdeling</t>
  </si>
  <si>
    <t xml:space="preserve">MAD / KANTINE - KOSTAFDELING  I ALT:  </t>
  </si>
  <si>
    <t xml:space="preserve">Løn administrativt personale </t>
  </si>
  <si>
    <t>Øvrige administrationsudgifter</t>
  </si>
  <si>
    <t xml:space="preserve">ADMINISTRATION M.V.  I ALT:   </t>
  </si>
  <si>
    <t>DRIFTSOMKOSTNINGER I ALT</t>
  </si>
  <si>
    <t>RESULTAT FØR Financielle poster:</t>
  </si>
  <si>
    <t>Renteindtægter</t>
  </si>
  <si>
    <t>Renteomkostninger m.v.</t>
  </si>
  <si>
    <t>FINANCIELLE POSTER I ALT</t>
  </si>
  <si>
    <t xml:space="preserve">RESULTAT FØR EKSTRAORD. </t>
  </si>
  <si>
    <t>Ekstraordinære udgifter</t>
  </si>
  <si>
    <t xml:space="preserve">EKSTRAORDINÆRE POSTER i alt :  </t>
  </si>
  <si>
    <t>Status</t>
  </si>
  <si>
    <t>33a</t>
  </si>
  <si>
    <t>Indtægter:</t>
  </si>
  <si>
    <t>pr. barn</t>
  </si>
  <si>
    <t>Kommunale tilskud</t>
  </si>
  <si>
    <t>Private tilskud</t>
  </si>
  <si>
    <t>Andet- Mad Vuggestue</t>
    <phoneticPr fontId="55" type="noConversion"/>
  </si>
  <si>
    <t>Andre indtægter - madordning</t>
    <phoneticPr fontId="55" type="noConversion"/>
  </si>
  <si>
    <t>Udgifter:</t>
  </si>
  <si>
    <t>Løn pædagoger incl pension</t>
  </si>
  <si>
    <t>Lønrefusioner</t>
  </si>
  <si>
    <t>Løn i alt:</t>
  </si>
  <si>
    <t>Daglige aktiviteter</t>
  </si>
  <si>
    <t>Forplejning</t>
  </si>
  <si>
    <t>Lokaler / Bygninger</t>
  </si>
  <si>
    <t>Øvrige udgifter i alt</t>
    <phoneticPr fontId="55" type="noConversion"/>
  </si>
  <si>
    <t>Udgifter i alt:</t>
  </si>
  <si>
    <t>Årets resultat:</t>
  </si>
  <si>
    <t>STATENS LØNTABEL GRUNDBELØB PR. 31. marts 2012</t>
  </si>
  <si>
    <t>skkode</t>
  </si>
  <si>
    <t>kommkode</t>
  </si>
  <si>
    <t>navn</t>
  </si>
  <si>
    <t>stedområde</t>
  </si>
  <si>
    <t>region</t>
  </si>
  <si>
    <t>Skalatrin</t>
  </si>
  <si>
    <t>II</t>
  </si>
  <si>
    <t>III</t>
  </si>
  <si>
    <t>IV</t>
  </si>
  <si>
    <t>V</t>
  </si>
  <si>
    <t>VI</t>
  </si>
  <si>
    <t>Pensionsg.løn</t>
  </si>
  <si>
    <t>Svanevej Privatskole</t>
  </si>
  <si>
    <t>Bordings Friskole</t>
  </si>
  <si>
    <t>Landsbyskolen</t>
  </si>
  <si>
    <t>Vanløse Privatskole</t>
  </si>
  <si>
    <t>DIA Privatskole</t>
  </si>
  <si>
    <t>Bjørn's Internationale Skole</t>
  </si>
  <si>
    <t>Kildeskolen</t>
  </si>
  <si>
    <t>Amager's International School</t>
  </si>
  <si>
    <t>Iqbal International School</t>
  </si>
  <si>
    <t>Jinnah International School</t>
  </si>
  <si>
    <t>Ahi International School</t>
  </si>
  <si>
    <t>Al Hikma Skolen</t>
  </si>
  <si>
    <t>HAY-Skolen</t>
  </si>
  <si>
    <t>Sjællands Privatskole</t>
  </si>
  <si>
    <t>Mariendal Friskole</t>
  </si>
  <si>
    <t>Al Huda Skolen</t>
  </si>
  <si>
    <t>Al Quds Skole</t>
  </si>
  <si>
    <t>Al-Hilal Skolen</t>
  </si>
  <si>
    <t>Steinerskolen i København</t>
  </si>
  <si>
    <t>Livets Skole</t>
  </si>
  <si>
    <t>Øresunds Internationale Skole</t>
  </si>
  <si>
    <t>Nord-vest Privatskole</t>
  </si>
  <si>
    <t>Iqra Privatskole</t>
  </si>
  <si>
    <t>Salix Skole</t>
  </si>
  <si>
    <t>Frederiksberg Friskole</t>
  </si>
  <si>
    <t>Michael Skolen</t>
  </si>
  <si>
    <t>Busses Skole</t>
  </si>
  <si>
    <t>Vidar Skolen, Rud. St. Sk. i Gentofte</t>
  </si>
  <si>
    <t>Atheneskolen</t>
  </si>
  <si>
    <t>Nærum Privatskole</t>
  </si>
  <si>
    <t>Rud. St. Sk. Kvistgård</t>
  </si>
  <si>
    <t>Al-Irchad Skolen</t>
  </si>
  <si>
    <t>KonTiki</t>
  </si>
  <si>
    <t>Herfølge Privatskole</t>
  </si>
  <si>
    <t>Osted Fri- og Efterskole</t>
  </si>
  <si>
    <t>Viby Friskole</t>
  </si>
  <si>
    <t>Roskilde Private Skole</t>
  </si>
  <si>
    <t>Kristofferskolen</t>
  </si>
  <si>
    <t>Freds Skolen</t>
  </si>
  <si>
    <t>Den Demokratiske Skole</t>
  </si>
  <si>
    <t>Sydkystens Privatskole</t>
  </si>
  <si>
    <t>Spjellerup Friskole</t>
  </si>
  <si>
    <t>Helsingør Privatskole</t>
  </si>
  <si>
    <t>Midtdjurs Friskole</t>
  </si>
  <si>
    <t>Feldballe Friskole</t>
  </si>
  <si>
    <t>Nr. Asmindrup Friskole</t>
  </si>
  <si>
    <t>Astrup Friskole og Børnehave</t>
  </si>
  <si>
    <t>Friskolen Skallerup</t>
  </si>
  <si>
    <t>Grænseegnens Friskole</t>
  </si>
  <si>
    <t>Ingstrup Trivselsskole</t>
  </si>
  <si>
    <t>Margrethelyst Friskole</t>
  </si>
  <si>
    <t>Klitmøller Friskole</t>
  </si>
  <si>
    <t>Roser Skolen</t>
  </si>
  <si>
    <t>Stepping Friskole</t>
  </si>
  <si>
    <t>Vejlernes Naturfriskole</t>
  </si>
  <si>
    <t>Vendsyssel Friskole</t>
  </si>
  <si>
    <t>HK1</t>
  </si>
  <si>
    <t>Randlevskolen</t>
  </si>
  <si>
    <t>HK2</t>
  </si>
  <si>
    <t>Langtved Friskole</t>
  </si>
  <si>
    <t>HK3</t>
  </si>
  <si>
    <t>Lørslev Friskole</t>
  </si>
  <si>
    <t>HK4</t>
  </si>
  <si>
    <t>Allindelille Friskole</t>
  </si>
  <si>
    <t>Slotsparkens Friskole</t>
  </si>
  <si>
    <t>Bedsted Friskole</t>
  </si>
  <si>
    <t>Friskolen Hald Ege</t>
  </si>
  <si>
    <t>Skovlund Friskole</t>
  </si>
  <si>
    <t>Bh1</t>
  </si>
  <si>
    <t>Svenstrup Friskole</t>
  </si>
  <si>
    <t>Bh2</t>
  </si>
  <si>
    <t>Jejsing Friskole</t>
  </si>
  <si>
    <t>Bh3</t>
  </si>
  <si>
    <t>Filskov Friskole og Børnehave</t>
  </si>
  <si>
    <t>Margrethe Reedtz Skolen</t>
  </si>
  <si>
    <t>Voldumegnens Friskole</t>
  </si>
  <si>
    <t>ikke reguleret-  ikke pensionsgivende</t>
  </si>
  <si>
    <t>Kværkeby Friskole</t>
  </si>
  <si>
    <t>Vestermose Natur og Idrætsfriskole</t>
  </si>
  <si>
    <t>Basistrin</t>
  </si>
  <si>
    <t>Hellum Friskole</t>
  </si>
  <si>
    <t>ROS Privatskole</t>
  </si>
  <si>
    <t>Ejsing Friskole</t>
  </si>
  <si>
    <t>Romalt Friskole</t>
  </si>
  <si>
    <t>Friskolen Vellev</t>
  </si>
  <si>
    <t>Skelbæk Friskole</t>
  </si>
  <si>
    <t>Jelling Friskole</t>
  </si>
  <si>
    <t>Hellested Friskole</t>
  </si>
  <si>
    <t>Kværs Idrætsfriskole</t>
  </si>
  <si>
    <t>Den Nye Friskole</t>
  </si>
  <si>
    <t>Vejle Privatskole</t>
  </si>
  <si>
    <t>Faarevejle Fri- og Efterskole</t>
  </si>
  <si>
    <t>Høve Friskole</t>
  </si>
  <si>
    <t>Vallekilde-Hørve Friskole</t>
  </si>
  <si>
    <t>Friskolen i Starreklinte</t>
  </si>
  <si>
    <t>NEJJA</t>
  </si>
  <si>
    <t>Lpension</t>
  </si>
  <si>
    <t>Vinde Helsinge Friskole/Vestsj. Idrætsef</t>
  </si>
  <si>
    <t>Friskolen &amp; Idrætsefterskolen Ubby</t>
  </si>
  <si>
    <t>E24</t>
  </si>
  <si>
    <t>Sæby-Hallenslev Friskole</t>
  </si>
  <si>
    <t>E25</t>
  </si>
  <si>
    <t>E43</t>
  </si>
  <si>
    <t>Tømmerup Fri- og Efterskole</t>
  </si>
  <si>
    <t>E27</t>
  </si>
  <si>
    <t>E44</t>
  </si>
  <si>
    <t>Kalundborg Friskole</t>
  </si>
  <si>
    <t>E30</t>
  </si>
  <si>
    <t>E45</t>
  </si>
  <si>
    <t>Forlev Friskole</t>
  </si>
  <si>
    <t>E31</t>
  </si>
  <si>
    <t>E46</t>
  </si>
  <si>
    <t>Helms Skole</t>
  </si>
  <si>
    <t>E32</t>
  </si>
  <si>
    <t>E47</t>
  </si>
  <si>
    <t>Ringsted Privatskole</t>
  </si>
  <si>
    <t>E33</t>
  </si>
  <si>
    <t>E48</t>
  </si>
  <si>
    <t>Ringsted Ny Friskole</t>
  </si>
  <si>
    <t>E35</t>
  </si>
  <si>
    <t>P42</t>
  </si>
  <si>
    <t>Lille Egede Friskole</t>
  </si>
  <si>
    <t>E36</t>
  </si>
  <si>
    <t>P43</t>
  </si>
  <si>
    <t>Landsgrav Friskole</t>
  </si>
  <si>
    <t>E37</t>
  </si>
  <si>
    <t>P44</t>
  </si>
  <si>
    <t>Trelleborg Friskole</t>
  </si>
  <si>
    <t>E38</t>
  </si>
  <si>
    <t>P45</t>
  </si>
  <si>
    <t>Frejaskolen, Rud.St.Sk. på Midtsjælland</t>
  </si>
  <si>
    <t>E40</t>
  </si>
  <si>
    <t>P46</t>
  </si>
  <si>
    <t>Friskolen Øster Egesborg</t>
  </si>
  <si>
    <t>P47</t>
  </si>
  <si>
    <t>Møn Friskole</t>
  </si>
  <si>
    <t>P24</t>
  </si>
  <si>
    <t>P48</t>
  </si>
  <si>
    <t>Friskolen af 2008</t>
  </si>
  <si>
    <t>P25</t>
  </si>
  <si>
    <t>P49</t>
  </si>
  <si>
    <t>Skovby Friskole</t>
  </si>
  <si>
    <t>P27</t>
  </si>
  <si>
    <t>Druestrup Friskole</t>
  </si>
  <si>
    <t>P30</t>
  </si>
  <si>
    <t>Stevns Friskole</t>
  </si>
  <si>
    <t>P31</t>
  </si>
  <si>
    <t>Rud. St. Sk. i Vordingborg</t>
  </si>
  <si>
    <t>P32</t>
  </si>
  <si>
    <t>Sværdborg Friskole</t>
  </si>
  <si>
    <t>P33</t>
  </si>
  <si>
    <t>Sydbornholms Privatskole</t>
  </si>
  <si>
    <t>P35</t>
  </si>
  <si>
    <t>Broby Fri- og Efterskole</t>
  </si>
  <si>
    <t>P36</t>
  </si>
  <si>
    <t>Ollerup Friskole</t>
  </si>
  <si>
    <t>P37</t>
  </si>
  <si>
    <t>Vester Skerninge Friskole</t>
  </si>
  <si>
    <t>P38</t>
  </si>
  <si>
    <t>Enghaveskolen - Faaborgegnens Friskole</t>
  </si>
  <si>
    <t>P40</t>
  </si>
  <si>
    <t>Haastrup Friskole</t>
  </si>
  <si>
    <t>Glamsbjerg Fri- og Efterskole</t>
  </si>
  <si>
    <t>Køng Idrætsfriskole</t>
  </si>
  <si>
    <t>Oure Friskole</t>
  </si>
  <si>
    <t>Friskolen i Jordløse</t>
  </si>
  <si>
    <t>Kertemindeegnens Friskole</t>
  </si>
  <si>
    <t>Middelfart Friskole</t>
  </si>
  <si>
    <t>Fænøsund Friskole</t>
  </si>
  <si>
    <t>Højby Friskole</t>
  </si>
  <si>
    <t>Odense Friskole</t>
  </si>
  <si>
    <t>Stige Friskole</t>
  </si>
  <si>
    <t>Ådalskolen, Fangel Friskole</t>
  </si>
  <si>
    <t>Rud. St. Sk. i Odense</t>
  </si>
  <si>
    <t>Al-Salahiyah Skolen</t>
  </si>
  <si>
    <t>Det Kgl. Teaters Balletskole i Odense</t>
  </si>
  <si>
    <t>Friskolen City Odense</t>
  </si>
  <si>
    <t>Mentiqa-Odense</t>
  </si>
  <si>
    <t>Al-Salam Skolen</t>
  </si>
  <si>
    <t>Hjemly Fri- og Idrætsefterskole</t>
  </si>
  <si>
    <t>Nordskovens Friskole</t>
  </si>
  <si>
    <t>Ringe Fri- og Efterskole</t>
  </si>
  <si>
    <t>Rudme Friskole</t>
  </si>
  <si>
    <t>Krarup Friskole, Reventlowskolen</t>
  </si>
  <si>
    <t>Kassebølle Friskole</t>
  </si>
  <si>
    <t>Gislev Friskole</t>
  </si>
  <si>
    <t>Ryslinge Friskole</t>
  </si>
  <si>
    <t>Trunderup Friskole</t>
  </si>
  <si>
    <t>Øster Åby Friskole</t>
  </si>
  <si>
    <t>Magleby Fri- og Efterskole</t>
  </si>
  <si>
    <t>Ærø Friskole</t>
  </si>
  <si>
    <t>Refsvindinge Friskole</t>
  </si>
  <si>
    <t>Svindinge Friskole</t>
  </si>
  <si>
    <t>Ferritslev Friskole</t>
  </si>
  <si>
    <t>Nr. Lyndelse Friskole</t>
  </si>
  <si>
    <t>Sdr. Nærå Friskole &amp; Midtfyns Efterskole</t>
  </si>
  <si>
    <t>Frøbjerg-Orte Friskole</t>
  </si>
  <si>
    <t>Midtals Friskole</t>
  </si>
  <si>
    <t>Aller Friskole</t>
  </si>
  <si>
    <t>Simmersted Friskole</t>
  </si>
  <si>
    <t>Fole Friskole</t>
  </si>
  <si>
    <t>Gråsten Friskole</t>
  </si>
  <si>
    <t>Søgård Friskole</t>
  </si>
  <si>
    <t>Løgumkloster Friskole</t>
  </si>
  <si>
    <t>Oksbøl Friskole</t>
  </si>
  <si>
    <t>Friskolen Østerlund</t>
  </si>
  <si>
    <t>Rødding Friskole</t>
  </si>
  <si>
    <t>Brøns Rejsby Friskole</t>
  </si>
  <si>
    <t>Eckersberg Børneunivers</t>
  </si>
  <si>
    <t>Tandslet Friskole</t>
  </si>
  <si>
    <t>Aabenraa Friskole</t>
  </si>
  <si>
    <t>Branderup Friskole</t>
  </si>
  <si>
    <t>Blåbjerg Friskole</t>
  </si>
  <si>
    <t>Kvong Friskole</t>
  </si>
  <si>
    <t>Friskolen i Bramming</t>
  </si>
  <si>
    <t>Gjerndrup Friskole</t>
  </si>
  <si>
    <t>Mejls-Orten-Tinghøj Friskole</t>
  </si>
  <si>
    <t>Vejen Friskole</t>
  </si>
  <si>
    <t>Tønning-Træden Friskole</t>
  </si>
  <si>
    <t>Bakkelandets Friskole</t>
  </si>
  <si>
    <t>Balle Friskole,Musik- &amp; Idrætsefterskole</t>
  </si>
  <si>
    <t>Fredericia Friskole</t>
  </si>
  <si>
    <t>Vestbirk Friskole</t>
  </si>
  <si>
    <t>Hedegård Friskole</t>
  </si>
  <si>
    <t>Karlskov Friskole</t>
  </si>
  <si>
    <t>As Friskole</t>
  </si>
  <si>
    <t>Kolding Friskole</t>
  </si>
  <si>
    <t>Friskolen i Thorlund</t>
  </si>
  <si>
    <t>Gludsted Friskole</t>
  </si>
  <si>
    <t>Klovborg Friskole</t>
  </si>
  <si>
    <t>Grejs Friskole</t>
  </si>
  <si>
    <t>Vejle Friskole</t>
  </si>
  <si>
    <t>Steiner Skolen i Vejle</t>
  </si>
  <si>
    <t>Uhre Friskole</t>
  </si>
  <si>
    <t>Sdr. Vium Friskole</t>
  </si>
  <si>
    <t>Lyne Friskole</t>
  </si>
  <si>
    <t>Hammerum Fri- og Efterskole</t>
  </si>
  <si>
    <t>Herning Friskole</t>
  </si>
  <si>
    <t>Parkskolen</t>
  </si>
  <si>
    <t>Børneskolen ved Familiehøjskolen</t>
  </si>
  <si>
    <t>Studsgård Friskole</t>
  </si>
  <si>
    <t>Holstebro Friskole</t>
  </si>
  <si>
    <t>Balletskolen</t>
  </si>
  <si>
    <t>Bonnet Friskole</t>
  </si>
  <si>
    <t>Bøvling Fri- &amp; Idrætsefterskole</t>
  </si>
  <si>
    <t>Fjaltring Friskole</t>
  </si>
  <si>
    <t>Udefriskolen</t>
  </si>
  <si>
    <t>Velling Friskole</t>
  </si>
  <si>
    <t>Ølstrup Friskole</t>
  </si>
  <si>
    <t>Hover-Torsted Friskole</t>
  </si>
  <si>
    <t>Struer Friskole</t>
  </si>
  <si>
    <t>Resen Friskole</t>
  </si>
  <si>
    <t>Thyholm Friskole</t>
  </si>
  <si>
    <t>Sønder Nissum Friskole</t>
  </si>
  <si>
    <t>Hjelm Hede Friskole</t>
  </si>
  <si>
    <t>Den fri Hestehaveskole</t>
  </si>
  <si>
    <t>Frijsendal Friskole</t>
  </si>
  <si>
    <t>Regnbueskolen</t>
  </si>
  <si>
    <t>Friskolen i Hinnerup</t>
  </si>
  <si>
    <t>Vindblæs Friskole</t>
  </si>
  <si>
    <t>Mellerup Fri- og Efterskole</t>
  </si>
  <si>
    <t>Gjerrild-Bønnerup Friskole</t>
  </si>
  <si>
    <t>Odder lille Friskole</t>
  </si>
  <si>
    <t>Fussingø-Egnens Friskole</t>
  </si>
  <si>
    <t>Samsø Friskole</t>
  </si>
  <si>
    <t>Rud. St. Sk. i Silkeborg</t>
  </si>
  <si>
    <t>Friskolen i Lemming</t>
  </si>
  <si>
    <t>Rud. St. Sk. Skanderborg</t>
  </si>
  <si>
    <t>Rud. St. Sk. i Århus</t>
  </si>
  <si>
    <t>Lykkeskolen</t>
  </si>
  <si>
    <t>Selam Friskole</t>
  </si>
  <si>
    <t>Den Moderne Kulturelle Skole</t>
  </si>
  <si>
    <t>Nilen Privatskole</t>
  </si>
  <si>
    <t>Grønbjerg Friskole</t>
  </si>
  <si>
    <t>Hoven Friskole</t>
  </si>
  <si>
    <t>Herborg Friskole</t>
  </si>
  <si>
    <t>Gudenådalens Friskole</t>
  </si>
  <si>
    <t>Sahl Friskole</t>
  </si>
  <si>
    <t>Mammen Friskole</t>
  </si>
  <si>
    <t>Hanstholm Friskole</t>
  </si>
  <si>
    <t>Bjergby Friskole</t>
  </si>
  <si>
    <t>Skallerup Friskole</t>
  </si>
  <si>
    <t>Øster Jølby Friskole</t>
  </si>
  <si>
    <t>Sydvestmors Friskole</t>
  </si>
  <si>
    <t>Ørding Friskole</t>
  </si>
  <si>
    <t>Sundby Friskole</t>
  </si>
  <si>
    <t>Lødderup Friskole</t>
  </si>
  <si>
    <t>Friskolen i Skive</t>
  </si>
  <si>
    <t>Rødding Friskole, Spøttrup</t>
  </si>
  <si>
    <t>Thise Friskole</t>
  </si>
  <si>
    <t>Sydthy Friskole</t>
  </si>
  <si>
    <t>Boddum-Ydby Friskole og Børnehave</t>
  </si>
  <si>
    <t>Hundborg Friskole</t>
  </si>
  <si>
    <t>Thorsted Friskole</t>
  </si>
  <si>
    <t>Thisted Friskole</t>
  </si>
  <si>
    <t>Sønderhå-Hørsted Friskole</t>
  </si>
  <si>
    <t>Vejrum-Viskum Friskole</t>
  </si>
  <si>
    <t>Langsø Friskole</t>
  </si>
  <si>
    <t>Bjerregrav Friskole</t>
  </si>
  <si>
    <t>Fjelsø Friskole</t>
  </si>
  <si>
    <t>Klim Friskole</t>
  </si>
  <si>
    <t>Hjørring Ny Steinerskole</t>
  </si>
  <si>
    <t>Hobro Friskole</t>
  </si>
  <si>
    <t>Vilsted Friskole</t>
  </si>
  <si>
    <t>Skørbæk-Ejdrup Friskole og Naturbørnehav</t>
  </si>
  <si>
    <t>Vokslev Friskole</t>
  </si>
  <si>
    <t>Egense Friskole</t>
  </si>
  <si>
    <t>Nr. Kongerslev-Komdrup Friskole</t>
  </si>
  <si>
    <t>Guldbæk Friskole</t>
  </si>
  <si>
    <t>Gregers Krabbe Friskolen</t>
  </si>
  <si>
    <t>Hvilsom Friskole og Fribørnehave</t>
  </si>
  <si>
    <t>Jerslev-Østervrå Friskole</t>
  </si>
  <si>
    <t>Privatskolen i Sæby</t>
  </si>
  <si>
    <t>Vedsted Friskole</t>
  </si>
  <si>
    <t>Aabybro Friskole</t>
  </si>
  <si>
    <t>Østskolen, Waldorfskolen i Aalborg</t>
  </si>
  <si>
    <t>Vaarst Friskole</t>
  </si>
  <si>
    <t>Lyngbjerggårdskolen</t>
  </si>
  <si>
    <t>Mentiqa Nordjylland</t>
  </si>
  <si>
    <t>Haubro Landsbyskole - Himmerl. Friskole</t>
  </si>
  <si>
    <t>Indtægter</t>
  </si>
  <si>
    <t>Udgifter</t>
  </si>
  <si>
    <t>Driftsresultat</t>
  </si>
  <si>
    <t>Likvider</t>
  </si>
  <si>
    <t>Elevtal</t>
  </si>
  <si>
    <t>Gå til Hovedskemaet</t>
  </si>
  <si>
    <t>1/3 af 17%</t>
  </si>
  <si>
    <t>2/3 af 17%</t>
  </si>
  <si>
    <t xml:space="preserve"> </t>
  </si>
  <si>
    <t>Pensionsg.</t>
  </si>
  <si>
    <t>løn</t>
  </si>
  <si>
    <t>Egetbidrag</t>
  </si>
  <si>
    <t>Arb.g.bidrag</t>
  </si>
  <si>
    <t>Tilbage til Hovedskemaet</t>
  </si>
  <si>
    <t>Forening</t>
  </si>
  <si>
    <t>Region</t>
  </si>
  <si>
    <t>DF</t>
  </si>
  <si>
    <t>DP</t>
  </si>
  <si>
    <t>FKF</t>
  </si>
  <si>
    <t>DDSV</t>
  </si>
  <si>
    <t>GYM</t>
  </si>
  <si>
    <t>Banklån</t>
  </si>
  <si>
    <t>Pæd. studerende</t>
  </si>
  <si>
    <t>Pæd. assistentelev</t>
  </si>
  <si>
    <t>Institutionen har ansat følgende:</t>
  </si>
  <si>
    <t>Månedslønnede pædagogisk personale (vægt 1)</t>
  </si>
  <si>
    <t>Timelønnede</t>
  </si>
  <si>
    <t>Antal fuldtidsindskrevne børn i børnehaven</t>
  </si>
  <si>
    <t>Antal fuldtidsindskrevne børn i vuggestuen</t>
  </si>
  <si>
    <t xml:space="preserve">Støttefunktioner (ikke ansat i privatinstitutionen) </t>
  </si>
  <si>
    <t>Ansatte på barsel eller andet ulønnet orlov - oplys her den normering barslen tæller med. (bg*antal mdr. på barsel/12). Tastes i minus</t>
  </si>
  <si>
    <r>
      <t xml:space="preserve">SFO og Klub. </t>
    </r>
    <r>
      <rPr>
        <b/>
        <sz val="20"/>
        <color rgb="FFC00000"/>
        <rFont val="Courier"/>
        <family val="1"/>
      </rPr>
      <t>For overenskomstændringer se budgetbilag.</t>
    </r>
  </si>
  <si>
    <r>
      <t xml:space="preserve">Daginstitution. </t>
    </r>
    <r>
      <rPr>
        <b/>
        <sz val="20"/>
        <color rgb="FFC00000"/>
        <rFont val="Courier"/>
        <family val="1"/>
      </rPr>
      <t>For overenskomstændringer se budgetbilag.</t>
    </r>
  </si>
  <si>
    <r>
      <t xml:space="preserve">Heltidsskolefritidsordning. </t>
    </r>
    <r>
      <rPr>
        <b/>
        <sz val="20"/>
        <color rgb="FFC00000"/>
        <rFont val="Courier"/>
        <family val="1"/>
      </rPr>
      <t>For overenskomstændringer se budgetbilag.</t>
    </r>
  </si>
  <si>
    <r>
      <t xml:space="preserve">Pædagogisk personale i skolen. </t>
    </r>
    <r>
      <rPr>
        <b/>
        <sz val="20"/>
        <color rgb="FFC00000"/>
        <rFont val="Courier"/>
        <family val="1"/>
      </rPr>
      <t>(OBS: kan kun ansættes til praktisk støtte)</t>
    </r>
    <r>
      <rPr>
        <b/>
        <sz val="20"/>
        <rFont val="Courier"/>
        <family val="3"/>
      </rPr>
      <t xml:space="preserve">. </t>
    </r>
    <r>
      <rPr>
        <b/>
        <sz val="20"/>
        <color rgb="FFC00000"/>
        <rFont val="Courier"/>
        <family val="1"/>
      </rPr>
      <t>For overenskomstændringer se budgetbilag.</t>
    </r>
  </si>
  <si>
    <r>
      <t>Administrativ personale.</t>
    </r>
    <r>
      <rPr>
        <b/>
        <sz val="20"/>
        <color rgb="FFC00000"/>
        <rFont val="Courier"/>
        <family val="1"/>
      </rPr>
      <t xml:space="preserve"> For overenskomstændringer se budgetbilag.</t>
    </r>
  </si>
  <si>
    <r>
      <t xml:space="preserve">Pedel og Rengøring. </t>
    </r>
    <r>
      <rPr>
        <b/>
        <sz val="20"/>
        <color rgb="FFC00000"/>
        <rFont val="Courier"/>
        <family val="1"/>
      </rPr>
      <t>For overenskomstændringer se budgetbilag.</t>
    </r>
  </si>
  <si>
    <r>
      <t xml:space="preserve">Kostafdeling og kantine. </t>
    </r>
    <r>
      <rPr>
        <b/>
        <sz val="20"/>
        <color rgb="FFC00000"/>
        <rFont val="Courier"/>
        <family val="1"/>
      </rPr>
      <t>For overenskomstændringer se budgetbilag.</t>
    </r>
  </si>
  <si>
    <t>Min egen skole</t>
  </si>
  <si>
    <t>Busordning</t>
  </si>
  <si>
    <t xml:space="preserve">Pædagog </t>
  </si>
  <si>
    <t>Timeløn ejendom 1</t>
  </si>
  <si>
    <t>Pædagogstuderende (ikke merit)</t>
  </si>
  <si>
    <t>Pædagogiske assistentelever (Ikke merit)</t>
  </si>
  <si>
    <t>Pædagogstuderende (vægt 0,43) Gælder ikke merit</t>
  </si>
  <si>
    <t>Pædagogiske assistentelelever (vægt 0,24) Gælder ikke merit</t>
  </si>
  <si>
    <t>Indmeldt over 35,0 timer pr. uge (vægtes med 1,0)</t>
  </si>
  <si>
    <t>Indmeldt over 25,0 timer og op til og med 35,0 timer pr. uge (vægtes med 0,75)</t>
  </si>
  <si>
    <t>Indmeldt til og med 25,0 timer pr. uge (vægtes med 0,5)</t>
  </si>
  <si>
    <t xml:space="preserve">Specialundervisningstilskud </t>
  </si>
  <si>
    <t>OK24-tillæg</t>
  </si>
  <si>
    <t>Øverste
leder</t>
  </si>
  <si>
    <t>Øvrig
leder</t>
  </si>
  <si>
    <t>Overenskomsttillæg pr. mdr. til det pædagogiske personale (Undtaget afdelingsledere) og 3F.</t>
  </si>
  <si>
    <t>Antal rater skolepenge normalt opkræves med i perioden august - december (Oftest 5 mdr.):</t>
  </si>
  <si>
    <t>Antal rater skolepenge normalt opkræves med i perioden januar - juli (Oftest 6 eller 7 mdr.):</t>
  </si>
  <si>
    <t>Antal rater SFO normalt opkræves med i perioden januar - juli (Oftest 6 eller 7 mdr.):</t>
  </si>
  <si>
    <t>Antal rater SFO normalt opkræves med i perioden august - december (Oftest 5 mdr.):</t>
  </si>
  <si>
    <t>Kommunalt tilskudsfremskrivning Børnehave fra 2026 til 2027</t>
  </si>
  <si>
    <t>Statstilskudsfremskrivning vedr. skole, SFO fra 2026 til 2027</t>
  </si>
  <si>
    <t>Stigning i forældrebetaling Børnehave 2026 til 2027</t>
  </si>
  <si>
    <t>Kommunalt tilskudsfremskrivning Vuggestue fra 2026 til 2027</t>
  </si>
  <si>
    <t>Stigning i forældrebetaling Vuggestue 2026 til 2027</t>
  </si>
  <si>
    <t>Kontingent til Fordelingssekretariatet (samme som året før)</t>
  </si>
  <si>
    <t>Tilskud fra Fordelingssekretariatet(Sygdom 252,-/129,- Barsel 37,- Pr. lønnet 100% orlovstime)</t>
  </si>
  <si>
    <t>Tilskud fra Fleksbarsel(kr. 85,- pr. lønnet 100% orlovstime)</t>
  </si>
  <si>
    <r>
      <t xml:space="preserve">Tilskud fra Fordelingssekretariatet. </t>
    </r>
    <r>
      <rPr>
        <sz val="9"/>
        <rFont val="Helvetica"/>
        <family val="2"/>
      </rPr>
      <t xml:space="preserve">BEMÆRK KUN SKOLENS ANSATTE </t>
    </r>
    <r>
      <rPr>
        <sz val="8"/>
        <rFont val="Helvetica"/>
        <family val="2"/>
      </rPr>
      <t>(sygdom 229,- de første 30 dage. Herefter 105,-).</t>
    </r>
  </si>
  <si>
    <t>Tilskud fra Fleksbarsel BEMÆRK KUN SKOLENS ANSATTE kr. 85,- pr. lønnet 100% orlovstime</t>
  </si>
  <si>
    <t>Tilskud fra barsel.dk(Ansatte i skolens daginstitution) kr. 108,86</t>
  </si>
  <si>
    <t>Dagpengerefusioner kr. 131,49 pr. lønnet 100% orlovstime</t>
  </si>
  <si>
    <t>Dagpengerefusioner (kr. 131,49 pr. lønnet 100% orlovstime)</t>
  </si>
  <si>
    <t>Tilskud pr. lektion a 45 min. for undervisning i dansk for tosprogede (2025 takst)</t>
  </si>
  <si>
    <t xml:space="preserve">Tilskud pr. time a 60 min. til Personlig assistance. (2025 taksten fra SPSU) </t>
  </si>
  <si>
    <r>
      <rPr>
        <b/>
        <sz val="10"/>
        <rFont val="Helvetica"/>
        <family val="2"/>
      </rPr>
      <t>ORLOV FULD TID</t>
    </r>
    <r>
      <rPr>
        <sz val="10"/>
        <rFont val="Helvetica"/>
        <family val="2"/>
      </rPr>
      <t xml:space="preserve">. Er den ansatte på barsel eller andet ulønnet med ret til fuld pension? vælg "Orlov". Der vil for denne periode ikke blive beregnet en lønudgift - kun pension </t>
    </r>
  </si>
  <si>
    <r>
      <rPr>
        <b/>
        <sz val="10"/>
        <rFont val="Helvetica"/>
        <family val="2"/>
      </rPr>
      <t>SENIORORDNING</t>
    </r>
    <r>
      <rPr>
        <sz val="10"/>
        <rFont val="Helvetica"/>
        <family val="2"/>
      </rPr>
      <t xml:space="preserve"> 175 TIMER. Er den ansatte på seniorordning med ret til op til 175 nedsat arbejdstid men med fuld pension eller afholdes der delvis forældreorlov med nedsat løn men med fuld pension</t>
    </r>
  </si>
  <si>
    <t xml:space="preserve">Leasing </t>
  </si>
  <si>
    <t>Udover ændrede satser i satsbilaget, byder budgetåret 2026 på følgende ændringer.</t>
  </si>
  <si>
    <t>Satsbilag</t>
  </si>
  <si>
    <r>
      <rPr>
        <b/>
        <sz val="12"/>
        <color theme="1"/>
        <rFont val="Arial"/>
        <family val="2"/>
      </rPr>
      <t>Satsfremskrivning daginstitution:</t>
    </r>
    <r>
      <rPr>
        <sz val="12"/>
        <color theme="1"/>
        <rFont val="Arial"/>
        <family val="2"/>
      </rPr>
      <t xml:space="preserve"> Det er nu muligt at satsfremskrive de kommunale tilskudssatser og forældrebetalinger fra budgetår 2026 til budgetår 2027.</t>
    </r>
  </si>
  <si>
    <r>
      <rPr>
        <b/>
        <sz val="12"/>
        <color theme="1"/>
        <rFont val="Arial"/>
        <family val="2"/>
      </rPr>
      <t>Elevtal:</t>
    </r>
    <r>
      <rPr>
        <sz val="12"/>
        <color theme="1"/>
        <rFont val="Arial"/>
        <family val="2"/>
      </rPr>
      <t xml:space="preserve"> I budgetværktøjet bliver der ikke automatisk klasseoprykket fra 2025 til 2026. Skolen skal nu selv taste alle elevtal pr. klasse for alle årene.</t>
    </r>
  </si>
  <si>
    <t>Skolepenge, pasningsordning</t>
  </si>
  <si>
    <r>
      <rPr>
        <b/>
        <sz val="12"/>
        <color theme="1"/>
        <rFont val="Arial"/>
        <family val="2"/>
      </rPr>
      <t>Antal rater:</t>
    </r>
    <r>
      <rPr>
        <sz val="12"/>
        <color theme="1"/>
        <rFont val="Arial"/>
        <family val="2"/>
      </rPr>
      <t xml:space="preserve"> Øverst i hvert skema vedr. skolepenge, SFO-betaling og Klubbetaling er det vigtigt at skolen oplyser hvor mange måneder der normaltvis opkræves i for perioden. Feks. perioden januar til juli oplyses her enten 6 eller 7 måneder. Denne oplysning er for at sikre at indtægter vedr. skolepenge, SFO og klub beregnes korrekt i budgetår 2027.</t>
    </r>
  </si>
  <si>
    <t>OK-26</t>
  </si>
  <si>
    <r>
      <t xml:space="preserve">Løn: </t>
    </r>
    <r>
      <rPr>
        <sz val="12"/>
        <color theme="1"/>
        <rFont val="Arial"/>
        <family val="2"/>
      </rPr>
      <t>Pr. 1. april 2026 aftales der nye gældende overenskomster. Ændringerne er pga. tidspunktet for budgetudarbejdelsen ikke medtaget. Istedet er der budgetteret med en generel lønstigning pr. april 2026 på 2,5 pct.</t>
    </r>
  </si>
  <si>
    <r>
      <t xml:space="preserve">Ferietillæg: </t>
    </r>
    <r>
      <rPr>
        <sz val="12"/>
        <rFont val="Arial"/>
        <family val="2"/>
      </rPr>
      <t>Skolen udbetaler særlig ferietillæg på 2,02 pct. ultimo maj og ultimo august. I lønfanen for lærer/bh.kl.ledere række 62 og i lønfanen for pæd/TAP række 52 oplyses hvor mange måneder den ansatte har været ansat i perioden 1. september 2025 til 31. august 2026. Ud fra antallet af måneder beregner budgettet et budget vedr. det særlige ferietillæg.</t>
    </r>
  </si>
  <si>
    <r>
      <t xml:space="preserve">Særlige feriedage: </t>
    </r>
    <r>
      <rPr>
        <sz val="12"/>
        <rFont val="Arial"/>
        <family val="2"/>
      </rPr>
      <t>Udbetaler skolen særlige feriedage d. 30. april 2026(optjent i finansåret 2024 og som ikke er afviklet i perioden 1. maj 2025 - 30. april 2026) oplyses antallet af særlige feriedage der udbetales pr. 30. april 2026. For lærer/bh.kl.ledere oplyses de udbetalte dage i række 64. For pæd/TAP oplyses de udbetalte dage i række 54. Budgetarket udregner herefter et budgettal på de særlige feriedage.</t>
    </r>
  </si>
  <si>
    <t>Under selve lønbudgettet i de to "løn-faner", skal skolen oplyse antallet af skyldige feriedage og særlige feriedage pr. 31. december 2025, 2026 og 2027. Er der ikke tale om nyansættelse eller erstatningsferie vil tallene de 3 år alt andet lige være ens. Vær dog særlig opmærksom på langtidssyge og ansatte på barselsorlov der har ret til erstatningsferie og som et enkelt år derfor kan have flere skyldige feriedage og særlige feriedage end normalt. Har en ansat to eller flere kolonner, skal opmærksomheden på hvor de skyldige feriedage oplyses skærpes så de følger ansættelsens udvikling. Budgetarket udregner skolens feriepengeforpligtigelse ud fra antallet af skyldige feriedage og særlige feriedage.</t>
  </si>
  <si>
    <t xml:space="preserve">At skolen har oplyst stedtillægget i celle "G12" </t>
  </si>
  <si>
    <t>Vises der en rød tekst i række 16, 31, 51, 66, 80 og 93 stemmer antal opkrævede elever ikke med 5. september tallene. Har skolen indskrevet/udskrevet elever efter 5. september vil der begrundet vises den røde tekst.den røde tekst. Ellers check en ekstra gang op på enten elevtal på forsiden eller elevopkrævning i skolepenge, SFO og klub.</t>
  </si>
  <si>
    <t>Souschef. Har skolen en souschef oplyses souscheftillægget i række 25.</t>
  </si>
  <si>
    <t>Skolens decentrale løn/ny løn oplyses i række 27 - 31. Husk at der ALTID oplyses i årlig grundbeløb.</t>
  </si>
  <si>
    <t>Udligningstillæg. Lærere ansat i 2004 og øvrige ledere ansat før 1. januar 2019 kan have sig et personligt udligningstillæg. Dette tillæg oplyses i række 32 og oplyses i årligt grundbeløb.</t>
  </si>
  <si>
    <t>Trin 4-tillæg. Lærere der var ansat pr. 31. marts og som på daværende tidspunkt have 12 års anciennitet kan have fået beregnet et personligt og varigt trin 4 tillæg. Dette tillæg oplyses i række 33 og oplyses i årligt grundbeløb.</t>
  </si>
  <si>
    <t>SPS-tillæg. Modtager skolen SPS-tilskud, er der også lærere der skal have SPS-tillæg. De timer læreren skal have SPS-tillæg oplyses i række 41.</t>
  </si>
  <si>
    <t>Udbetaler skolen ulempetillæg og weekendtillæg + evt. weekendtimer oplyses disse timer som årlige planlagte timer i række 55-57.</t>
  </si>
  <si>
    <t>Er der planlagt lejrtur og skolen betaler lejrskoletillæg efter arbejdstidsreglerne oplyses antal dage lejrskolen er på hverdage i række 58 og i weekender i række 59. Hver påbegyndt dag tæller for en dag.</t>
  </si>
  <si>
    <t>Udbetales der diæter oplyses dette i række 61.</t>
  </si>
  <si>
    <t>Særlige feriedage der udbetales, eller særlige feriedage og feriedage der afregnes ved fratræden oplyses i række 64</t>
  </si>
  <si>
    <t>Husk at oplyse øverst i hvert skema for hhv. skolepenge, SFO og Klub hvor mange måneder skolen normaltvis opkræver betaling for januar - juli og for august til december. Dette for at indtægten til budgetår 2027 beregnes korrekt.</t>
  </si>
  <si>
    <t xml:space="preserve">Normering: I denne fane er der en beregning på institutionens normeringstal. Beregningerne skal kun bruges til at fornemme hvor institutioenen er i forhold til normeringskravet. DET ER VIGTIGT AT INSTITUTIONEN ANVENDER DEN AF MINISTERIETS BEREGNINGSMODEL FOR DEN HELT PRÆCISE UDREGNING DA DENNE TAGER HØJDE FOR INDMELDELSESDAGE MM. </t>
  </si>
  <si>
    <t>Ved ansatte med mere end en kolonne. Læs ved hver lønart hvor oplysningen skal tastes. Oftest er det i den kolonne der går med ind i det næste budgetår.</t>
  </si>
  <si>
    <t>I række 42 oplyses skolens evt. lokalaftalte ulempetillæg. Dette tillæg bliver der ikke beregnet pension af, og det er derfor vigtigt at rækken ikke anvendes til at oplyse kvalifikationstillæg eller funktionstillæg der jf. overenskomsten er pensionsgivende.</t>
  </si>
  <si>
    <t xml:space="preserve">Barsel.dk - gælder kun ansatte i skolens daginstitution </t>
  </si>
  <si>
    <r>
      <t>Samlet betaling pr. fuldtidsansat</t>
    </r>
    <r>
      <rPr>
        <sz val="8"/>
        <color theme="1"/>
        <rFont val="Arial"/>
        <family val="2"/>
      </rPr>
      <t xml:space="preserve"> </t>
    </r>
    <r>
      <rPr>
        <sz val="6"/>
        <color theme="1"/>
        <rFont val="Arial"/>
        <family val="2"/>
      </rPr>
      <t>(AUB, AES, AFU(0,-), FERIEKONTO, FIB, Lønmodtagernes Feriemidler) OBS - lærerplads AUB er ikke medregnet).</t>
    </r>
    <r>
      <rPr>
        <sz val="10"/>
        <color theme="1"/>
        <rFont val="Arial"/>
        <family val="2"/>
      </rPr>
      <t xml:space="preserve"> </t>
    </r>
  </si>
  <si>
    <r>
      <rPr>
        <b/>
        <sz val="10"/>
        <color theme="1"/>
        <rFont val="Helvetica"/>
        <family val="2"/>
      </rPr>
      <t xml:space="preserve">Ulempe tillæg - 25% </t>
    </r>
    <r>
      <rPr>
        <sz val="10"/>
        <color theme="1"/>
        <rFont val="Helvetica"/>
        <family val="2"/>
      </rPr>
      <t>(Skriv antal årlige hele arbejdstimer der udløser ulempetillæg i tidsummet 17-06 samt i weekender og som udbetales) Arket beregner selv 25% af nettotimelønnen.
Hvis mere end en kolonne, skal timerne oplyses i den kolonne der budgetteres med ind i næste budgetår.</t>
    </r>
  </si>
  <si>
    <r>
      <rPr>
        <b/>
        <sz val="10"/>
        <color theme="1"/>
        <rFont val="Helvetica"/>
        <family val="2"/>
      </rPr>
      <t>Weekendtillæg - 50%</t>
    </r>
    <r>
      <rPr>
        <sz val="10"/>
        <color theme="1"/>
        <rFont val="Helvetica"/>
        <family val="2"/>
      </rPr>
      <t xml:space="preserve"> Tillægget afspadseres normalt i indeværende normperiode. Hvis der udarbejdes individuelle aftaler om udbetaling, skrives antal årlige arbejdstimer der udløser weekendtillæg. Arket beregner selv 50% af nettotimelønnen.
Hvis mere end en kolonne, skal timerne oplyses i den kolonne der budgetteres med ind i næste budgetår.</t>
    </r>
  </si>
  <si>
    <r>
      <rPr>
        <b/>
        <sz val="10"/>
        <color theme="1"/>
        <rFont val="Helvetica"/>
        <family val="2"/>
      </rPr>
      <t xml:space="preserve">Weekendtimer </t>
    </r>
    <r>
      <rPr>
        <sz val="10"/>
        <color theme="1"/>
        <rFont val="Helvetica"/>
        <family val="2"/>
      </rPr>
      <t>Timeforbruget for arbejde i weekender skal normalvis afspadseres i indeværende normperiode. Hvis der udarbejdes individuelle aftaler om udbetaling, skrives antal årlige hele timer for arbejde i weekend.  Arket beregner selv nettotimelønnen.
Hvis mere end en kolonne, skal timerne oplyses i den kolonne der budgetteres med ind i næste budgetår.</t>
    </r>
  </si>
  <si>
    <r>
      <rPr>
        <b/>
        <sz val="10"/>
        <color theme="1"/>
        <rFont val="Helvetica"/>
        <family val="2"/>
      </rPr>
      <t>Lejrskoletillæg på hverdage</t>
    </r>
    <r>
      <rPr>
        <sz val="10"/>
        <color theme="1"/>
        <rFont val="Helvetica"/>
        <family val="2"/>
      </rPr>
      <t xml:space="preserve"> Kr. 163,64 (pr. 31. marts 2012) pr. påbegyndt dag. Oplys antal lejrskoledage på hverdage.
Hvis mere end en kolonne, skal timerne oplyses i den kolonne der budgetteres med ind i næste budgetår.</t>
    </r>
  </si>
  <si>
    <r>
      <rPr>
        <b/>
        <sz val="10"/>
        <color theme="1"/>
        <rFont val="Helvetica"/>
        <family val="2"/>
      </rPr>
      <t>Lejrskoletillæg på weekenddage</t>
    </r>
    <r>
      <rPr>
        <sz val="10"/>
        <color theme="1"/>
        <rFont val="Helvetica"/>
        <family val="2"/>
      </rPr>
      <t xml:space="preserve"> Kr. 372,20 (pr. 31. marts 2012) pr. påbegyndt dag. Oplys antal lejrskoledage i week.
Hvis mere end en kolonne, skal timerne oplyses i den kolonne der budgetteres med ind i næste budgetår.</t>
    </r>
  </si>
  <si>
    <r>
      <rPr>
        <b/>
        <sz val="10"/>
        <rFont val="Helvetica"/>
        <family val="2"/>
      </rPr>
      <t>Diæter - Time og dagpenge</t>
    </r>
    <r>
      <rPr>
        <sz val="10"/>
        <rFont val="Helvetica"/>
        <family val="2"/>
      </rPr>
      <t xml:space="preserve"> Udbetales ved tjeneste ud over 24 timer. Budgettal = årlig værdi i nutidskroner. 2025 pr. dag: DK 128,25. Udlandet 149,25.
Hvis mere end en kolonne, skal timerne oplyses i den kolonne der budgetteres med ind i næste budgetår.</t>
    </r>
  </si>
  <si>
    <r>
      <t xml:space="preserve">Årligt </t>
    </r>
    <r>
      <rPr>
        <b/>
        <sz val="10"/>
        <rFont val="Helvetica"/>
        <family val="2"/>
      </rPr>
      <t>souscheftillæg</t>
    </r>
    <r>
      <rPr>
        <sz val="10"/>
        <rFont val="Helvetica"/>
        <family val="2"/>
      </rPr>
      <t xml:space="preserve"> i årligt grundbeløb(2012 niveau) 19.300,-
Hvis mere end en kolonne, skal tillægget oplyses i begge kolonner.</t>
    </r>
  </si>
  <si>
    <r>
      <rPr>
        <b/>
        <sz val="10"/>
        <rFont val="Helvetica"/>
        <family val="2"/>
      </rPr>
      <t xml:space="preserve">Engangsvederlag og eller resultatløn. Ikke afhængig af BG. </t>
    </r>
    <r>
      <rPr>
        <sz val="10"/>
        <rFont val="Helvetica"/>
        <family val="2"/>
      </rPr>
      <t xml:space="preserve">
Årligt grundbeløb(2012 niveau). 
Hvis mere end en kolonne, skal engangsvederlaget oplyses i begge kolonner.</t>
    </r>
  </si>
  <si>
    <r>
      <rPr>
        <b/>
        <sz val="10"/>
        <rFont val="Helvetica"/>
        <family val="2"/>
      </rPr>
      <t>Varigt kval.tillæg, afhængig af BG.</t>
    </r>
    <r>
      <rPr>
        <sz val="10"/>
        <rFont val="Helvetica"/>
        <family val="2"/>
      </rPr>
      <t xml:space="preserve">
Årligt grundbeløb(2012 niveau) v. 100% BG. 
Hvis mere end en kolonne, skal tillægget oplyses i begge kolonner.</t>
    </r>
  </si>
  <si>
    <r>
      <rPr>
        <b/>
        <sz val="10"/>
        <rFont val="Helvetica"/>
        <family val="2"/>
      </rPr>
      <t>Varigt kval.tillæg, ikke afhængig af BG.</t>
    </r>
    <r>
      <rPr>
        <sz val="10"/>
        <rFont val="Helvetica"/>
        <family val="2"/>
      </rPr>
      <t xml:space="preserve">
Årligt grundbeløb (2012 niveau). 
Hvis mere end en kolonne, skal tillægget oplyses i begge kolonner.</t>
    </r>
  </si>
  <si>
    <r>
      <t xml:space="preserve">Varigt </t>
    </r>
    <r>
      <rPr>
        <b/>
        <sz val="10"/>
        <rFont val="Helvetica"/>
        <family val="2"/>
      </rPr>
      <t>funktionsstillæg, ikke afh. af BG.</t>
    </r>
    <r>
      <rPr>
        <sz val="10"/>
        <rFont val="Helvetica"/>
        <family val="2"/>
      </rPr>
      <t xml:space="preserve">
Årligt grundbeløb(2012 niveau). 
Hvis mere end en kolonne, skal tillægget oplyses i begge kolonner.</t>
    </r>
  </si>
  <si>
    <r>
      <t xml:space="preserve">Varigt </t>
    </r>
    <r>
      <rPr>
        <b/>
        <sz val="10"/>
        <rFont val="Helvetica"/>
        <family val="2"/>
      </rPr>
      <t xml:space="preserve">funktionsstillæg, ikke afh. af BG. </t>
    </r>
    <r>
      <rPr>
        <sz val="10"/>
        <rFont val="Helvetica"/>
        <family val="2"/>
      </rPr>
      <t xml:space="preserve">
Årligt grundbeløb(2012 niveau). 
Hvis mere end en kolonne, skal tillægget oplyses i begge kolonner.</t>
    </r>
  </si>
  <si>
    <r>
      <rPr>
        <b/>
        <sz val="10"/>
        <rFont val="Helvetica"/>
        <family val="2"/>
      </rPr>
      <t>Udligningstillæg.</t>
    </r>
    <r>
      <rPr>
        <sz val="10"/>
        <rFont val="Helvetica"/>
        <family val="2"/>
      </rPr>
      <t xml:space="preserve"> Pensionsgivende for lærere. For mellemledere er udligningstillæg beregnet i 2019 pensionsgivende.
Årligt grundbeløb(2012 niveau) v. 100% BG. 
Hvis mere end en kolonne, skal tillægget oplyses i begge kolonner.</t>
    </r>
  </si>
  <si>
    <r>
      <rPr>
        <b/>
        <sz val="10"/>
        <rFont val="Helvetica"/>
        <family val="2"/>
      </rPr>
      <t>Årligt TRIN 4-tillæg</t>
    </r>
    <r>
      <rPr>
        <sz val="10"/>
        <rFont val="Helvetica"/>
        <family val="2"/>
      </rPr>
      <t xml:space="preserve"> i årligt grundbeløb (2012 niveau) v. 100% BG. 
Hvis mere end en kolonne, skal tillægget oplyses i begge kolonner.</t>
    </r>
  </si>
  <si>
    <r>
      <rPr>
        <b/>
        <sz val="10"/>
        <rFont val="Helvetica"/>
        <family val="2"/>
      </rPr>
      <t>SPS timer eller timer til 2-sprogede.</t>
    </r>
    <r>
      <rPr>
        <sz val="10"/>
        <rFont val="Helvetica"/>
        <family val="2"/>
      </rPr>
      <t xml:space="preserve"> pr. uge(Oplyses i klokketimer).
Hvis mere end en kolonne, skal timerne oplyses i begge kolonner.</t>
    </r>
  </si>
  <si>
    <r>
      <rPr>
        <b/>
        <sz val="10"/>
        <rFont val="Helvetica"/>
        <family val="2"/>
      </rPr>
      <t xml:space="preserve">Lokalaftalt fast IKKE </t>
    </r>
    <r>
      <rPr>
        <sz val="10"/>
        <rFont val="Helvetica"/>
        <family val="2"/>
      </rPr>
      <t>pensionsberettiget godtgørelse - oplyses i "nu" kr. pr. mdr.(Kan være lokalaftale ulempetillæg eller lejrskoletillæg omregnet til mdr. beløb). 
Hvis mere end en kolonne, skal tillægget oplyses i begge kolonner.</t>
    </r>
  </si>
  <si>
    <r>
      <rPr>
        <b/>
        <sz val="10"/>
        <rFont val="Helvetica"/>
        <family val="2"/>
      </rPr>
      <t>ORLOV FULD TID.</t>
    </r>
    <r>
      <rPr>
        <sz val="10"/>
        <rFont val="Helvetica"/>
        <family val="2"/>
      </rPr>
      <t xml:space="preserve"> Er den ansatte på barsel eller andet ulønnet orlov med ret til fuld pension? vælg "Orlov" Budgettet vil da ikke beregne en lønudgift, men i stedet en pensionsudgift.</t>
    </r>
  </si>
  <si>
    <r>
      <t xml:space="preserve">Er den ansatte på </t>
    </r>
    <r>
      <rPr>
        <b/>
        <sz val="10"/>
        <rFont val="Helvetica"/>
        <family val="2"/>
      </rPr>
      <t>delvis orlov</t>
    </r>
    <r>
      <rPr>
        <sz val="10"/>
        <rFont val="Helvetica"/>
        <family val="2"/>
      </rPr>
      <t>, hvor der betales delvis løn men fuld pension?</t>
    </r>
  </si>
  <si>
    <r>
      <t xml:space="preserve">Lønnet </t>
    </r>
    <r>
      <rPr>
        <b/>
        <sz val="10"/>
        <rFont val="Helvetica"/>
        <family val="2"/>
      </rPr>
      <t>beskæftigelsesgrad</t>
    </r>
    <r>
      <rPr>
        <sz val="10"/>
        <rFont val="Helvetica"/>
        <family val="2"/>
      </rPr>
      <t>. Ansat 100% skriv 1. Ansat 85% skriv 0,85</t>
    </r>
  </si>
  <si>
    <r>
      <rPr>
        <b/>
        <sz val="10"/>
        <rFont val="Helvetica"/>
        <family val="2"/>
      </rPr>
      <t>Gruppeliv</t>
    </r>
    <r>
      <rPr>
        <sz val="10"/>
        <rFont val="Helvetica"/>
        <family val="2"/>
      </rPr>
      <t xml:space="preserve">(Forenede gruppeliv - 130 kr.)
</t>
    </r>
  </si>
  <si>
    <r>
      <rPr>
        <b/>
        <sz val="10"/>
        <rFont val="Helvetica"/>
        <family val="2"/>
      </rPr>
      <t>Funktionstillæg, ikke pensionsgivende, ikke afhængig af bg.</t>
    </r>
    <r>
      <rPr>
        <sz val="10"/>
        <rFont val="Helvetica"/>
        <family val="2"/>
      </rPr>
      <t xml:space="preserve">
Årligt grundbeløb(2012 niveau)
Hvis mere end en kolonne, skal tillægget oplyses i begge kolonner.</t>
    </r>
  </si>
  <si>
    <r>
      <rPr>
        <b/>
        <sz val="10"/>
        <rFont val="Helvetica"/>
        <family val="2"/>
      </rPr>
      <t>Kvalifikationstillæg, ikke pensionsgivende, ikke afh. af bg.</t>
    </r>
    <r>
      <rPr>
        <sz val="10"/>
        <rFont val="Helvetica"/>
        <family val="2"/>
      </rPr>
      <t xml:space="preserve">
Årligt grundbeløb(2012 niveau)
Hvis mere end en kolonne, skal tillægget oplyses i begge kolonner.</t>
    </r>
  </si>
  <si>
    <r>
      <rPr>
        <b/>
        <sz val="10"/>
        <rFont val="Helvetica"/>
        <family val="2"/>
      </rPr>
      <t>Resultatløn, ikke pensionsgivende, ikke afh. af bg.</t>
    </r>
    <r>
      <rPr>
        <sz val="10"/>
        <rFont val="Helvetica"/>
        <family val="2"/>
      </rPr>
      <t xml:space="preserve">
Årligt grundbeløb(2012 niveau).
Hvis mere end en kolonne, skal tillægget oplyses i begge kolonner.</t>
    </r>
  </si>
  <si>
    <r>
      <rPr>
        <b/>
        <sz val="10"/>
        <rFont val="Helvetica"/>
        <family val="2"/>
      </rPr>
      <t>Funktionstillæg, pensionsgivende, ikke afh. af bg.</t>
    </r>
    <r>
      <rPr>
        <sz val="10"/>
        <rFont val="Helvetica"/>
        <family val="2"/>
      </rPr>
      <t xml:space="preserve">
Årligt grundbeløb(2012 niveau).
Hvis mere end en kolonne, skal tillægget oplyses i begge kolonner.</t>
    </r>
  </si>
  <si>
    <r>
      <rPr>
        <b/>
        <sz val="10"/>
        <rFont val="Helvetica"/>
        <family val="2"/>
      </rPr>
      <t>Kvalifikationstillæg, ikke pensionsgivende, afh. af bg.</t>
    </r>
    <r>
      <rPr>
        <sz val="10"/>
        <rFont val="Helvetica"/>
        <family val="2"/>
      </rPr>
      <t xml:space="preserve">
Årligt grundbeløb(2012 niveau).
Hvis mere end en kolonne, skal tillægget oplyses i begge kolonner.</t>
    </r>
  </si>
  <si>
    <r>
      <rPr>
        <b/>
        <sz val="10"/>
        <rFont val="Helvetica"/>
        <family val="2"/>
      </rPr>
      <t>Kvalifikationstillæg, pensionsgivende, afh. af bg.</t>
    </r>
    <r>
      <rPr>
        <sz val="10"/>
        <rFont val="Helvetica"/>
        <family val="2"/>
      </rPr>
      <t xml:space="preserve">
Tast årligt grundbeløb(2012 niveau) v. 100% BG.
Hvis mere end en kolonne, skal tillægget oplyses i begge kolonner.</t>
    </r>
  </si>
  <si>
    <r>
      <rPr>
        <b/>
        <sz val="10"/>
        <rFont val="Helvetica"/>
        <family val="2"/>
      </rPr>
      <t xml:space="preserve">Undervisningstillæg. </t>
    </r>
    <r>
      <rPr>
        <sz val="10"/>
        <rFont val="Helvetica"/>
        <family val="2"/>
      </rPr>
      <t xml:space="preserve">
Hvis mere end en kolonne, skal det fulde timetillæg oplyses i begge kolonner.</t>
    </r>
  </si>
  <si>
    <r>
      <rPr>
        <b/>
        <sz val="10"/>
        <color theme="1"/>
        <rFont val="Helvetica"/>
        <family val="2"/>
      </rPr>
      <t>Diæter - Time og dagpenge.</t>
    </r>
    <r>
      <rPr>
        <sz val="10"/>
        <color theme="1"/>
        <rFont val="Helvetica"/>
        <family val="2"/>
      </rPr>
      <t xml:space="preserve"> Udbetales ved tjeneste mere end 24 timer. Budgettal = årlig værdi i nutidskroner.
Hvis mere end en kolonne, skal timerne oplyses i den kolonne der budgetteres med ind i næste budgetår.</t>
    </r>
  </si>
  <si>
    <t>Indtast det forventede resultat for 2025 i hovedskemaet. Det forventede resultat er IKKE budgettet for 2025 men de tal skolen forventer året vil slutte med. Her i efteråret er der bogført 8, 9 - måske 10 måneder og det er sidste kendte saldobalance + forventede kommende indtægter og udgifter for de sidste måneder af året der sammen giver et forventet resultat. Altså skolens mest realistiske bud. Tallene bruges som sammenligningstal til budgettet for 2026 og 2027.</t>
  </si>
  <si>
    <t>Forside: Indtast skolens navn, skolens stedtillægsområde, om skolen er godkendt som profilskole samt elevoplysningerne pr. 5. september for 2024, 2025 samt forventet 2026 og 2027.</t>
  </si>
  <si>
    <t>Tast de forventede tal vedr undervisningsudgifter, bygninger, administration, skolemadsudgifter, daginstitution, prioritetsrenter. Tallene vedr. budget 2026 videreføres til hovedskemaet. (Det gør tallene vedr. 2025 ikke)! Der står i forvejen forslag til udgiftsposter. Dette er kun forslag, og overskrives så det stemmer overens med skolens egne konti. I fanen "Ejendom" og "Adm" er der mulighed for at videreføre udgifter til skolens budget for daginstitutionen. Dette da skoler med daginstitution SKAL udarbejde et budget for daginstitutionen, og for at budgettet for daginstitutionen er mest retvisende skal ejendom og administrationsudgifter med. Overførslen sker med en procentsats. Denne procentsats kan være beregnet på antal børn/elever eller m2 fordeling.</t>
  </si>
  <si>
    <t xml:space="preserve">Procentregulering 1. november 2025 </t>
  </si>
  <si>
    <t>Tillæg lin 24 - 36 i alt pr. måned
i aktuelt niveau</t>
  </si>
  <si>
    <r>
      <t xml:space="preserve">Budgetoverslag over daginstitutionens normering. Beregningen er udarbejdet efter lov om opgørelse af normeringer i privatinstitutioner og tager ikke højde for aldersintegrerede institutioner, men måler udelukkende på hhv. børnehave og vuggestuenormering. </t>
    </r>
    <r>
      <rPr>
        <b/>
        <sz val="12"/>
        <color theme="0"/>
        <rFont val="Arial"/>
        <family val="2"/>
      </rPr>
      <t>Budgetoverslaget må ikke anvendes til udregning af institutionens normeringstal. Benyt her Undervisningsministeriets beregningsværktøj.</t>
    </r>
  </si>
  <si>
    <r>
      <t xml:space="preserve">Afdelingsledere (vægt 0,85). </t>
    </r>
    <r>
      <rPr>
        <sz val="12"/>
        <color rgb="FFC00000"/>
        <rFont val="Arial"/>
        <family val="2"/>
      </rPr>
      <t>OBS: Finanslovsforslaget 2026 indeholder en børnepakke hvor afdelingslederen ikke medgår i beregningen af minimumsnormeringstallet. Vedtages dette skal tallet i celle Q122 fraregnes normeringstallet i celle Q130.</t>
    </r>
  </si>
  <si>
    <t>Husk at tage højde for evt. ændring mht. afdelingslederes normeringstal. Læs teksten i celle J119.</t>
  </si>
  <si>
    <t>Øverste leder</t>
  </si>
  <si>
    <t>Øvrig leder</t>
  </si>
  <si>
    <t>Lærere og børnehaveklasseledere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</si>
</sst>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_-* #,##0.00\ &quot;kr&quot;_-;\-* #,##0.00\ &quot;kr&quot;_-;_-* &quot;-&quot;??\ &quot;kr&quot;_-;_-@_-"/>
    <numFmt numFmtId="165" formatCode="_-* #,##0.00\ _k_r_-;\-* #,##0.00\ _k_r_-;_-* &quot;-&quot;??\ _k_r_-;_-@_-"/>
    <numFmt numFmtId="166" formatCode="_-* #,##0_-;\-* #,##0_-;_-* \-_-;_-@_-"/>
    <numFmt numFmtId="167" formatCode="_-* #,##0.00_-;\-* #,##0.00_-;_-* \-??_-;_-@_-"/>
    <numFmt numFmtId="168" formatCode="&quot;kr.&quot;#,##0;[Red]&quot;-kr.&quot;#,##0"/>
    <numFmt numFmtId="169" formatCode="#,##0.0"/>
    <numFmt numFmtId="170" formatCode="#,##0.0000"/>
    <numFmt numFmtId="171" formatCode="#,##0.00&quot;kr.&quot;;\-#,##0.00&quot;kr.&quot;"/>
    <numFmt numFmtId="172" formatCode="0.0%"/>
    <numFmt numFmtId="173" formatCode="000\-000"/>
    <numFmt numFmtId="174" formatCode="mm/yy"/>
    <numFmt numFmtId="175" formatCode="d\.m\.yy"/>
    <numFmt numFmtId="176" formatCode="#,##0.000000"/>
    <numFmt numFmtId="177" formatCode="d\.\ mmm\.\ yyyy"/>
    <numFmt numFmtId="178" formatCode="_-* #,##0.00_k_r_._-;\-* #,##0.00_k_r_._-;_-* &quot;-&quot;??_k_r_._-;_-@_-"/>
    <numFmt numFmtId="179" formatCode="_(* #,##0_);_(* \(#,##0\);_(* &quot;-&quot;_);_(@_)"/>
    <numFmt numFmtId="180" formatCode="_-&quot;kr.&quot;* #,##0.00_-;\-&quot;kr.&quot;* #,##0.00_-;_-&quot;kr.&quot;* &quot;-&quot;??_-;_-@_-"/>
    <numFmt numFmtId="181" formatCode="_ &quot;kr&quot;\ * #,##0_ ;_ &quot;kr&quot;\ * \-#,##0_ ;_ &quot;kr&quot;\ * &quot;-&quot;??_ ;_ @_ "/>
    <numFmt numFmtId="182" formatCode="#,##0_ ;[Red]\-#,##0\ "/>
    <numFmt numFmtId="183" formatCode="0.000000"/>
  </numFmts>
  <fonts count="188">
    <font>
      <sz val="10"/>
      <name val="Arial"/>
    </font>
    <font>
      <sz val="12"/>
      <color theme="1"/>
      <name val="Calibri"/>
      <family val="2"/>
      <scheme val="minor"/>
    </font>
    <font>
      <b/>
      <sz val="10"/>
      <name val="Arial"/>
      <family val="2"/>
    </font>
    <font>
      <sz val="10"/>
      <name val="Arial"/>
      <family val="2"/>
    </font>
    <font>
      <sz val="12"/>
      <name val="Arial"/>
      <family val="2"/>
    </font>
    <font>
      <sz val="14"/>
      <name val="Arial"/>
      <family val="2"/>
    </font>
    <font>
      <sz val="9"/>
      <name val="Arial"/>
      <family val="2"/>
    </font>
    <font>
      <sz val="12"/>
      <name val="System"/>
      <family val="2"/>
    </font>
    <font>
      <sz val="10"/>
      <name val="Courier New"/>
      <family val="3"/>
    </font>
    <font>
      <u/>
      <sz val="10"/>
      <color indexed="20"/>
      <name val="Arial"/>
      <family val="2"/>
    </font>
    <font>
      <u/>
      <sz val="10"/>
      <color indexed="31"/>
      <name val="Arial"/>
      <family val="2"/>
    </font>
    <font>
      <sz val="10"/>
      <name val="Geneva"/>
      <family val="2"/>
    </font>
    <font>
      <sz val="56"/>
      <name val="Arial"/>
      <family val="2"/>
    </font>
    <font>
      <sz val="10"/>
      <color indexed="18"/>
      <name val="Arial"/>
      <family val="2"/>
    </font>
    <font>
      <b/>
      <sz val="10"/>
      <name val="Arial"/>
      <family val="2"/>
    </font>
    <font>
      <sz val="10"/>
      <color indexed="8"/>
      <name val="Arial"/>
      <family val="2"/>
    </font>
    <font>
      <sz val="10"/>
      <color indexed="16"/>
      <name val="Arial"/>
      <family val="2"/>
    </font>
    <font>
      <b/>
      <sz val="10"/>
      <color indexed="8"/>
      <name val="Arial"/>
      <family val="2"/>
    </font>
    <font>
      <sz val="10"/>
      <color indexed="28"/>
      <name val="Arial"/>
      <family val="2"/>
    </font>
    <font>
      <sz val="10"/>
      <color indexed="12"/>
      <name val="Arial"/>
      <family val="2"/>
    </font>
    <font>
      <sz val="10"/>
      <color indexed="52"/>
      <name val="Arial"/>
      <family val="2"/>
    </font>
    <font>
      <sz val="10"/>
      <color indexed="17"/>
      <name val="Arial"/>
      <family val="2"/>
    </font>
    <font>
      <b/>
      <sz val="16"/>
      <name val="Arial"/>
      <family val="2"/>
    </font>
    <font>
      <b/>
      <sz val="10"/>
      <color indexed="16"/>
      <name val="Arial"/>
      <family val="2"/>
    </font>
    <font>
      <b/>
      <sz val="10"/>
      <color indexed="18"/>
      <name val="Arial"/>
      <family val="2"/>
    </font>
    <font>
      <b/>
      <sz val="10"/>
      <color indexed="12"/>
      <name val="Arial"/>
      <family val="2"/>
    </font>
    <font>
      <b/>
      <sz val="9"/>
      <color indexed="31"/>
      <name val="Arial"/>
      <family val="2"/>
    </font>
    <font>
      <sz val="10"/>
      <color indexed="31"/>
      <name val="Arial"/>
      <family val="2"/>
    </font>
    <font>
      <u/>
      <sz val="10"/>
      <color indexed="12"/>
      <name val="Arial"/>
      <family val="2"/>
    </font>
    <font>
      <b/>
      <sz val="14"/>
      <name val="Arial"/>
      <family val="2"/>
    </font>
    <font>
      <sz val="11"/>
      <name val="Arial"/>
      <family val="2"/>
    </font>
    <font>
      <sz val="11"/>
      <color indexed="16"/>
      <name val="Arial"/>
      <family val="2"/>
    </font>
    <font>
      <sz val="11"/>
      <color indexed="18"/>
      <name val="Arial"/>
      <family val="2"/>
    </font>
    <font>
      <u/>
      <sz val="10"/>
      <color indexed="18"/>
      <name val="Arial"/>
      <family val="2"/>
    </font>
    <font>
      <sz val="10"/>
      <color indexed="58"/>
      <name val="Arial"/>
      <family val="2"/>
    </font>
    <font>
      <b/>
      <sz val="10"/>
      <color indexed="31"/>
      <name val="Arial"/>
      <family val="2"/>
    </font>
    <font>
      <b/>
      <sz val="10"/>
      <color indexed="58"/>
      <name val="Arial"/>
      <family val="2"/>
    </font>
    <font>
      <sz val="9"/>
      <color indexed="12"/>
      <name val="Arial"/>
      <family val="2"/>
    </font>
    <font>
      <b/>
      <sz val="12"/>
      <name val="Arial"/>
      <family val="2"/>
    </font>
    <font>
      <b/>
      <sz val="18"/>
      <name val="Arial"/>
      <family val="2"/>
    </font>
    <font>
      <b/>
      <sz val="12"/>
      <color indexed="18"/>
      <name val="Arial"/>
      <family val="2"/>
    </font>
    <font>
      <b/>
      <sz val="12"/>
      <color indexed="31"/>
      <name val="Arial"/>
      <family val="2"/>
    </font>
    <font>
      <b/>
      <sz val="12"/>
      <color indexed="16"/>
      <name val="Arial"/>
      <family val="2"/>
    </font>
    <font>
      <sz val="12"/>
      <color indexed="16"/>
      <name val="Arial"/>
      <family val="2"/>
    </font>
    <font>
      <sz val="12"/>
      <color indexed="52"/>
      <name val="Arial"/>
      <family val="2"/>
    </font>
    <font>
      <sz val="12"/>
      <color indexed="31"/>
      <name val="Arial"/>
      <family val="2"/>
    </font>
    <font>
      <sz val="10"/>
      <color indexed="22"/>
      <name val="Arial"/>
      <family val="2"/>
    </font>
    <font>
      <b/>
      <sz val="12"/>
      <color indexed="52"/>
      <name val="Arial"/>
      <family val="2"/>
    </font>
    <font>
      <sz val="9"/>
      <color indexed="31"/>
      <name val="Arial"/>
      <family val="2"/>
    </font>
    <font>
      <sz val="10"/>
      <color indexed="19"/>
      <name val="Arial"/>
      <family val="2"/>
    </font>
    <font>
      <sz val="10"/>
      <color indexed="25"/>
      <name val="Arial"/>
      <family val="2"/>
    </font>
    <font>
      <b/>
      <sz val="10"/>
      <color indexed="10"/>
      <name val="Arial"/>
      <family val="2"/>
    </font>
    <font>
      <b/>
      <sz val="10"/>
      <color indexed="28"/>
      <name val="Arial"/>
      <family val="2"/>
    </font>
    <font>
      <b/>
      <sz val="9"/>
      <name val="Arial"/>
      <family val="2"/>
    </font>
    <font>
      <i/>
      <sz val="10"/>
      <color indexed="18"/>
      <name val="Arial"/>
      <family val="2"/>
    </font>
    <font>
      <sz val="8"/>
      <name val="Arial"/>
      <family val="2"/>
    </font>
    <font>
      <u/>
      <sz val="11"/>
      <color indexed="31"/>
      <name val="Arial"/>
      <family val="2"/>
    </font>
    <font>
      <sz val="14"/>
      <color indexed="58"/>
      <name val="Arial"/>
      <family val="2"/>
    </font>
    <font>
      <sz val="10"/>
      <color indexed="10"/>
      <name val="Arial"/>
      <family val="2"/>
    </font>
    <font>
      <sz val="10"/>
      <name val="Arial"/>
      <family val="2"/>
    </font>
    <font>
      <sz val="36"/>
      <color theme="9" tint="-0.249977111117893"/>
      <name val="Arial"/>
      <family val="2"/>
    </font>
    <font>
      <u/>
      <sz val="10"/>
      <color theme="11"/>
      <name val="Arial"/>
      <family val="2"/>
    </font>
    <font>
      <b/>
      <sz val="16"/>
      <color rgb="FFFF0000"/>
      <name val="Arial"/>
      <family val="2"/>
    </font>
    <font>
      <b/>
      <sz val="16"/>
      <color theme="0"/>
      <name val="Arial"/>
      <family val="2"/>
    </font>
    <font>
      <b/>
      <sz val="12"/>
      <color theme="0"/>
      <name val="Arial"/>
      <family val="2"/>
    </font>
    <font>
      <sz val="11"/>
      <color theme="0"/>
      <name val="Arial"/>
      <family val="2"/>
    </font>
    <font>
      <sz val="10"/>
      <color theme="0"/>
      <name val="Arial"/>
      <family val="2"/>
    </font>
    <font>
      <b/>
      <sz val="13"/>
      <color theme="0"/>
      <name val="Arial"/>
      <family val="2"/>
    </font>
    <font>
      <b/>
      <sz val="10"/>
      <color theme="0"/>
      <name val="Arial"/>
      <family val="2"/>
    </font>
    <font>
      <b/>
      <sz val="11"/>
      <color theme="0"/>
      <name val="Arial"/>
      <family val="2"/>
    </font>
    <font>
      <sz val="12"/>
      <color theme="0"/>
      <name val="Arial"/>
      <family val="2"/>
    </font>
    <font>
      <i/>
      <sz val="10"/>
      <color theme="0"/>
      <name val="Arial"/>
      <family val="2"/>
    </font>
    <font>
      <b/>
      <u/>
      <sz val="10"/>
      <color rgb="FFFF0000"/>
      <name val="Arial"/>
      <family val="2"/>
    </font>
    <font>
      <b/>
      <u/>
      <sz val="9"/>
      <color rgb="FFFF0000"/>
      <name val="Arial"/>
      <family val="2"/>
    </font>
    <font>
      <sz val="10"/>
      <name val="Geneva"/>
      <family val="2"/>
    </font>
    <font>
      <sz val="10"/>
      <name val="Helv"/>
    </font>
    <font>
      <b/>
      <sz val="10"/>
      <name val="Helv"/>
    </font>
    <font>
      <b/>
      <sz val="10"/>
      <color indexed="12"/>
      <name val="Helv"/>
    </font>
    <font>
      <sz val="10"/>
      <color indexed="16"/>
      <name val="Helv"/>
    </font>
    <font>
      <sz val="10"/>
      <name val="Courier"/>
      <family val="1"/>
    </font>
    <font>
      <i/>
      <sz val="10"/>
      <color indexed="16"/>
      <name val="Helv"/>
    </font>
    <font>
      <sz val="12"/>
      <color indexed="16"/>
      <name val="Helv"/>
    </font>
    <font>
      <b/>
      <sz val="14"/>
      <name val="Helv"/>
    </font>
    <font>
      <sz val="12"/>
      <name val="Helv"/>
    </font>
    <font>
      <b/>
      <sz val="10"/>
      <color theme="0"/>
      <name val="Helv"/>
    </font>
    <font>
      <b/>
      <sz val="16"/>
      <name val="Helv"/>
    </font>
    <font>
      <sz val="10"/>
      <color theme="0"/>
      <name val="Courier"/>
      <family val="3"/>
    </font>
    <font>
      <sz val="10"/>
      <color theme="0"/>
      <name val="Helv"/>
    </font>
    <font>
      <b/>
      <sz val="12"/>
      <color theme="1"/>
      <name val="Arial"/>
      <family val="2"/>
    </font>
    <font>
      <b/>
      <sz val="10"/>
      <color theme="0"/>
      <name val="Helvetica"/>
      <family val="2"/>
    </font>
    <font>
      <sz val="11"/>
      <color theme="1"/>
      <name val="Calibri"/>
      <family val="2"/>
      <scheme val="minor"/>
    </font>
    <font>
      <b/>
      <sz val="12"/>
      <name val="Helv"/>
    </font>
    <font>
      <sz val="9"/>
      <name val="Helv"/>
    </font>
    <font>
      <b/>
      <sz val="11"/>
      <color rgb="FFFF0000"/>
      <name val="Courier"/>
      <family val="1"/>
    </font>
    <font>
      <i/>
      <sz val="10"/>
      <name val="Arial"/>
      <family val="2"/>
    </font>
    <font>
      <sz val="6"/>
      <color rgb="FFFF0000"/>
      <name val="Courier"/>
      <family val="1"/>
    </font>
    <font>
      <b/>
      <sz val="14"/>
      <color indexed="18"/>
      <name val="Arial"/>
      <family val="2"/>
    </font>
    <font>
      <sz val="10"/>
      <name val="Helvetica"/>
      <family val="2"/>
    </font>
    <font>
      <b/>
      <sz val="12"/>
      <name val="Helvetica"/>
      <family val="2"/>
    </font>
    <font>
      <sz val="12"/>
      <name val="Helvetica"/>
      <family val="2"/>
    </font>
    <font>
      <b/>
      <sz val="10"/>
      <color rgb="FFFF0000"/>
      <name val="Arial"/>
      <family val="2"/>
    </font>
    <font>
      <sz val="12"/>
      <color theme="1"/>
      <name val="Arial"/>
      <family val="2"/>
    </font>
    <font>
      <sz val="10"/>
      <color theme="1"/>
      <name val="Arial"/>
      <family val="2"/>
    </font>
    <font>
      <sz val="12"/>
      <color theme="1"/>
      <name val="Geneva"/>
      <family val="2"/>
    </font>
    <font>
      <b/>
      <sz val="10"/>
      <color theme="1"/>
      <name val="Arial"/>
      <family val="2"/>
    </font>
    <font>
      <sz val="10"/>
      <color theme="3"/>
      <name val="Arial"/>
      <family val="2"/>
    </font>
    <font>
      <sz val="10"/>
      <color theme="5" tint="-0.249977111117893"/>
      <name val="Arial"/>
      <family val="2"/>
    </font>
    <font>
      <sz val="14"/>
      <color theme="0"/>
      <name val="Arial"/>
      <family val="2"/>
    </font>
    <font>
      <sz val="36"/>
      <color theme="0"/>
      <name val="Arial"/>
      <family val="2"/>
    </font>
    <font>
      <b/>
      <sz val="10"/>
      <color rgb="FF3469F0"/>
      <name val="Arial"/>
      <family val="2"/>
    </font>
    <font>
      <b/>
      <sz val="10"/>
      <color theme="1"/>
      <name val="Helv"/>
    </font>
    <font>
      <sz val="10"/>
      <color theme="1"/>
      <name val="Helvetica"/>
      <family val="2"/>
    </font>
    <font>
      <sz val="10"/>
      <color rgb="FF0000D4"/>
      <name val="Arial"/>
      <family val="2"/>
    </font>
    <font>
      <sz val="16"/>
      <name val="Arial"/>
      <family val="2"/>
    </font>
    <font>
      <sz val="10"/>
      <color theme="1"/>
      <name val="Helv"/>
    </font>
    <font>
      <b/>
      <sz val="20"/>
      <name val="Arial"/>
      <family val="2"/>
    </font>
    <font>
      <sz val="10"/>
      <color rgb="FFFF0000"/>
      <name val="Arial"/>
      <family val="2"/>
    </font>
    <font>
      <sz val="9"/>
      <name val="Helvetica"/>
      <family val="2"/>
    </font>
    <font>
      <sz val="10"/>
      <color theme="1"/>
      <name val="Courier"/>
      <family val="3"/>
    </font>
    <font>
      <b/>
      <sz val="16"/>
      <color rgb="FFFF0000"/>
      <name val="Courier"/>
      <family val="1"/>
    </font>
    <font>
      <b/>
      <sz val="20"/>
      <name val="Courier"/>
      <family val="3"/>
    </font>
    <font>
      <sz val="14"/>
      <name val="Courier"/>
      <family val="1"/>
    </font>
    <font>
      <b/>
      <u/>
      <sz val="10"/>
      <color theme="0" tint="-0.14999847407452621"/>
      <name val="Arial"/>
      <family val="2"/>
    </font>
    <font>
      <sz val="10"/>
      <color theme="0" tint="-0.14999847407452621"/>
      <name val="Arial"/>
      <family val="2"/>
    </font>
    <font>
      <sz val="8"/>
      <color rgb="FFFF0000"/>
      <name val="Arial"/>
      <family val="2"/>
    </font>
    <font>
      <sz val="6"/>
      <name val="Arial"/>
      <family val="2"/>
    </font>
    <font>
      <sz val="7"/>
      <color theme="1"/>
      <name val="Arial"/>
      <family val="2"/>
    </font>
    <font>
      <sz val="7"/>
      <color rgb="FFFF0000"/>
      <name val="Arial"/>
      <family val="2"/>
    </font>
    <font>
      <sz val="6"/>
      <color rgb="FFFF0000"/>
      <name val="Arial"/>
      <family val="2"/>
    </font>
    <font>
      <sz val="6"/>
      <color theme="1"/>
      <name val="Arial"/>
      <family val="2"/>
    </font>
    <font>
      <sz val="10"/>
      <color theme="3" tint="-0.249977111117893"/>
      <name val="Arial"/>
      <family val="2"/>
    </font>
    <font>
      <sz val="12"/>
      <color indexed="58"/>
      <name val="Arial"/>
      <family val="2"/>
    </font>
    <font>
      <b/>
      <sz val="12"/>
      <color rgb="FFC00000"/>
      <name val="Arial"/>
      <family val="2"/>
    </font>
    <font>
      <sz val="12"/>
      <color theme="0" tint="-0.14999847407452621"/>
      <name val="Arial"/>
      <family val="2"/>
    </font>
    <font>
      <sz val="12"/>
      <color indexed="18"/>
      <name val="Arial"/>
      <family val="2"/>
    </font>
    <font>
      <sz val="12"/>
      <color indexed="17"/>
      <name val="Arial"/>
      <family val="2"/>
    </font>
    <font>
      <sz val="12"/>
      <color rgb="FF003300"/>
      <name val="Arial"/>
      <family val="2"/>
    </font>
    <font>
      <sz val="12"/>
      <color rgb="FF006411"/>
      <name val="Arial"/>
      <family val="2"/>
    </font>
    <font>
      <sz val="12"/>
      <color rgb="FFFF0000"/>
      <name val="Arial"/>
      <family val="2"/>
    </font>
    <font>
      <sz val="12"/>
      <color indexed="12"/>
      <name val="Arial"/>
      <family val="2"/>
    </font>
    <font>
      <sz val="12"/>
      <color rgb="FFC00000"/>
      <name val="Arial"/>
      <family val="2"/>
    </font>
    <font>
      <b/>
      <sz val="12"/>
      <color indexed="8"/>
      <name val="Arial"/>
      <family val="2"/>
    </font>
    <font>
      <b/>
      <sz val="12"/>
      <color indexed="17"/>
      <name val="Arial"/>
      <family val="2"/>
    </font>
    <font>
      <sz val="12"/>
      <color indexed="8"/>
      <name val="Arial"/>
      <family val="2"/>
    </font>
    <font>
      <sz val="10"/>
      <color theme="6" tint="-0.499984740745262"/>
      <name val="Arial"/>
      <family val="2"/>
    </font>
    <font>
      <sz val="10"/>
      <color rgb="FF000000"/>
      <name val="Tahoma"/>
      <family val="2"/>
    </font>
    <font>
      <b/>
      <sz val="10"/>
      <color rgb="FF000000"/>
      <name val="Tahoma"/>
      <family val="2"/>
    </font>
    <font>
      <b/>
      <sz val="10"/>
      <color rgb="FFFF0000"/>
      <name val="Courier"/>
      <family val="1"/>
    </font>
    <font>
      <b/>
      <sz val="12"/>
      <color rgb="FFFF0000"/>
      <name val="Courier"/>
      <family val="1"/>
    </font>
    <font>
      <b/>
      <sz val="12"/>
      <name val="Courier"/>
      <family val="1"/>
    </font>
    <font>
      <b/>
      <sz val="20"/>
      <name val="Courier"/>
      <family val="1"/>
    </font>
    <font>
      <b/>
      <sz val="10"/>
      <name val="Helvetica"/>
      <family val="2"/>
    </font>
    <font>
      <sz val="10"/>
      <color theme="0"/>
      <name val="Helvetica"/>
      <family val="2"/>
    </font>
    <font>
      <sz val="10"/>
      <color indexed="17"/>
      <name val="Helvetica"/>
      <family val="2"/>
    </font>
    <font>
      <sz val="18"/>
      <name val="Helvetica"/>
      <family val="2"/>
    </font>
    <font>
      <sz val="10"/>
      <color rgb="FFFF0000"/>
      <name val="Helvetica"/>
      <family val="2"/>
    </font>
    <font>
      <sz val="10"/>
      <color indexed="12"/>
      <name val="Helvetica"/>
      <family val="2"/>
    </font>
    <font>
      <sz val="16"/>
      <name val="Helvetica"/>
      <family val="2"/>
    </font>
    <font>
      <sz val="12"/>
      <color rgb="FFFF0000"/>
      <name val="Helvetica"/>
      <family val="2"/>
    </font>
    <font>
      <sz val="14"/>
      <color rgb="FFFF0000"/>
      <name val="Helvetica"/>
      <family val="2"/>
    </font>
    <font>
      <sz val="16"/>
      <color rgb="FFFF0000"/>
      <name val="Helvetica"/>
      <family val="2"/>
    </font>
    <font>
      <b/>
      <sz val="20"/>
      <color rgb="FFC00000"/>
      <name val="Courier"/>
      <family val="1"/>
    </font>
    <font>
      <sz val="14"/>
      <color rgb="FFC00000"/>
      <name val="Courier"/>
      <family val="1"/>
    </font>
    <font>
      <sz val="10"/>
      <color indexed="16"/>
      <name val="Helvetica"/>
      <family val="2"/>
    </font>
    <font>
      <sz val="8"/>
      <name val="Helvetica"/>
      <family val="2"/>
    </font>
    <font>
      <sz val="12"/>
      <color theme="0"/>
      <name val="Helvetica"/>
      <family val="2"/>
    </font>
    <font>
      <sz val="10"/>
      <color rgb="FFFFFFFF"/>
      <name val="Helvetica"/>
      <family val="2"/>
    </font>
    <font>
      <sz val="9"/>
      <color rgb="FFFF0000"/>
      <name val="Helvetica"/>
      <family val="2"/>
    </font>
    <font>
      <b/>
      <sz val="10"/>
      <color rgb="FFC00000"/>
      <name val="Arial"/>
      <family val="2"/>
    </font>
    <font>
      <sz val="12"/>
      <color rgb="FFFFFFFF"/>
      <name val="Arial"/>
      <family val="2"/>
    </font>
    <font>
      <sz val="10"/>
      <color rgb="FFC00000"/>
      <name val="Arial"/>
      <family val="2"/>
    </font>
    <font>
      <b/>
      <sz val="9"/>
      <color theme="0"/>
      <name val="Arial"/>
      <family val="2"/>
    </font>
    <font>
      <b/>
      <sz val="26"/>
      <name val="Arial"/>
      <family val="2"/>
    </font>
    <font>
      <sz val="8"/>
      <color theme="1"/>
      <name val="Arial"/>
      <family val="2"/>
    </font>
    <font>
      <b/>
      <sz val="10"/>
      <name val="Courier"/>
      <family val="1"/>
    </font>
    <font>
      <b/>
      <sz val="10"/>
      <color theme="1"/>
      <name val="Courier"/>
      <family val="1"/>
    </font>
    <font>
      <b/>
      <sz val="10"/>
      <name val="Courier"/>
      <family val="3"/>
    </font>
    <font>
      <sz val="10"/>
      <color rgb="FFFF0000"/>
      <name val="Helv"/>
    </font>
    <font>
      <i/>
      <sz val="12"/>
      <name val="Arial"/>
      <family val="2"/>
    </font>
    <font>
      <b/>
      <sz val="20"/>
      <color theme="0"/>
      <name val="Arial"/>
      <family val="2"/>
    </font>
    <font>
      <b/>
      <sz val="14"/>
      <color theme="1"/>
      <name val="Arial"/>
      <family val="2"/>
    </font>
    <font>
      <b/>
      <sz val="16"/>
      <color theme="1"/>
      <name val="Arial"/>
      <family val="2"/>
    </font>
    <font>
      <sz val="10"/>
      <color rgb="FF000000"/>
      <name val="Arial"/>
      <family val="2"/>
    </font>
    <font>
      <sz val="11"/>
      <color rgb="FF000000"/>
      <name val="Arial"/>
      <family val="2"/>
    </font>
    <font>
      <b/>
      <sz val="20"/>
      <color theme="0"/>
      <name val="Courier"/>
      <family val="3"/>
    </font>
    <font>
      <sz val="10"/>
      <color theme="0"/>
      <name val="Courier"/>
      <family val="1"/>
    </font>
    <font>
      <b/>
      <sz val="10"/>
      <color theme="1"/>
      <name val="Helvetica"/>
      <family val="2"/>
    </font>
    <font>
      <b/>
      <sz val="11"/>
      <color theme="1"/>
      <name val="Courier"/>
      <family val="1"/>
    </font>
  </fonts>
  <fills count="84">
    <fill>
      <patternFill patternType="none"/>
    </fill>
    <fill>
      <patternFill patternType="gray125"/>
    </fill>
    <fill>
      <patternFill patternType="solid">
        <fgColor indexed="31"/>
        <bgColor indexed="22"/>
      </patternFill>
    </fill>
    <fill>
      <patternFill patternType="solid">
        <fgColor indexed="22"/>
        <bgColor indexed="31"/>
      </patternFill>
    </fill>
    <fill>
      <patternFill patternType="solid">
        <fgColor indexed="9"/>
        <bgColor indexed="26"/>
      </patternFill>
    </fill>
    <fill>
      <patternFill patternType="solid">
        <fgColor indexed="22"/>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14999847407452621"/>
        <bgColor indexed="31"/>
      </patternFill>
    </fill>
    <fill>
      <patternFill patternType="solid">
        <fgColor theme="1"/>
        <bgColor indexed="22"/>
      </patternFill>
    </fill>
    <fill>
      <patternFill patternType="solid">
        <fgColor theme="1"/>
        <bgColor indexed="64"/>
      </patternFill>
    </fill>
    <fill>
      <patternFill patternType="solid">
        <fgColor theme="0" tint="-0.249977111117893"/>
        <bgColor indexed="64"/>
      </patternFill>
    </fill>
    <fill>
      <patternFill patternType="solid">
        <fgColor theme="1" tint="4.9989318521683403E-2"/>
        <bgColor indexed="22"/>
      </patternFill>
    </fill>
    <fill>
      <patternFill patternType="solid">
        <fgColor theme="1" tint="4.9989318521683403E-2"/>
        <bgColor indexed="64"/>
      </patternFill>
    </fill>
    <fill>
      <patternFill patternType="solid">
        <fgColor theme="0" tint="-4.9989318521683403E-2"/>
        <bgColor indexed="64"/>
      </patternFill>
    </fill>
    <fill>
      <patternFill patternType="solid">
        <fgColor theme="0" tint="-4.9989318521683403E-2"/>
        <bgColor indexed="26"/>
      </patternFill>
    </fill>
    <fill>
      <patternFill patternType="solid">
        <fgColor theme="0" tint="-0.14999847407452621"/>
        <bgColor indexed="26"/>
      </patternFill>
    </fill>
    <fill>
      <patternFill patternType="solid">
        <fgColor theme="0" tint="-0.14999847407452621"/>
        <bgColor indexed="27"/>
      </patternFill>
    </fill>
    <fill>
      <patternFill patternType="solid">
        <fgColor theme="1"/>
        <bgColor indexed="26"/>
      </patternFill>
    </fill>
    <fill>
      <patternFill patternType="solid">
        <fgColor theme="1"/>
        <bgColor indexed="27"/>
      </patternFill>
    </fill>
    <fill>
      <patternFill patternType="solid">
        <fgColor theme="0" tint="-0.249977111117893"/>
        <bgColor indexed="27"/>
      </patternFill>
    </fill>
    <fill>
      <patternFill patternType="solid">
        <fgColor theme="0" tint="-0.249977111117893"/>
        <bgColor indexed="31"/>
      </patternFill>
    </fill>
    <fill>
      <patternFill patternType="solid">
        <fgColor theme="0" tint="-0.249977111117893"/>
        <bgColor indexed="26"/>
      </patternFill>
    </fill>
    <fill>
      <patternFill patternType="solid">
        <fgColor theme="1"/>
        <bgColor indexed="29"/>
      </patternFill>
    </fill>
    <fill>
      <patternFill patternType="solid">
        <fgColor theme="1"/>
        <bgColor indexed="31"/>
      </patternFill>
    </fill>
    <fill>
      <patternFill patternType="solid">
        <fgColor theme="0" tint="-0.14999847407452621"/>
        <bgColor indexed="58"/>
      </patternFill>
    </fill>
    <fill>
      <patternFill patternType="solid">
        <fgColor theme="0"/>
        <bgColor indexed="26"/>
      </patternFill>
    </fill>
    <fill>
      <patternFill patternType="solid">
        <fgColor theme="0" tint="-0.14999847407452621"/>
        <bgColor indexed="22"/>
      </patternFill>
    </fill>
    <fill>
      <patternFill patternType="solid">
        <fgColor theme="0" tint="-0.14999847407452621"/>
        <bgColor indexed="41"/>
      </patternFill>
    </fill>
    <fill>
      <patternFill patternType="solid">
        <fgColor theme="1"/>
        <bgColor indexed="58"/>
      </patternFill>
    </fill>
    <fill>
      <patternFill patternType="solid">
        <fgColor theme="0" tint="-0.34998626667073579"/>
        <bgColor indexed="64"/>
      </patternFill>
    </fill>
    <fill>
      <patternFill patternType="solid">
        <fgColor rgb="FFD9D9D9"/>
        <bgColor rgb="FF000000"/>
      </patternFill>
    </fill>
    <fill>
      <patternFill patternType="solid">
        <fgColor rgb="FF000000"/>
        <bgColor rgb="FF000000"/>
      </patternFill>
    </fill>
    <fill>
      <patternFill patternType="solid">
        <fgColor rgb="FFFFFF00"/>
        <bgColor indexed="64"/>
      </patternFill>
    </fill>
    <fill>
      <patternFill patternType="solid">
        <fgColor theme="0" tint="-0.14999847407452621"/>
        <bgColor indexed="24"/>
      </patternFill>
    </fill>
    <fill>
      <patternFill patternType="solid">
        <fgColor rgb="FFFFFF00"/>
        <bgColor indexed="31"/>
      </patternFill>
    </fill>
    <fill>
      <patternFill patternType="solid">
        <fgColor rgb="FFFFFF00"/>
        <bgColor theme="1"/>
      </patternFill>
    </fill>
    <fill>
      <patternFill patternType="solid">
        <fgColor theme="5" tint="0.59999389629810485"/>
        <bgColor indexed="64"/>
      </patternFill>
    </fill>
    <fill>
      <patternFill patternType="solid">
        <fgColor rgb="FFFFFF99"/>
        <bgColor rgb="FF000000"/>
      </patternFill>
    </fill>
    <fill>
      <patternFill patternType="solid">
        <fgColor theme="4" tint="0.79998168889431442"/>
        <bgColor indexed="64"/>
      </patternFill>
    </fill>
    <fill>
      <patternFill patternType="solid">
        <fgColor theme="6" tint="0.79998168889431442"/>
        <bgColor indexed="64"/>
      </patternFill>
    </fill>
    <fill>
      <patternFill patternType="solid">
        <fgColor rgb="FF92D050"/>
        <bgColor indexed="64"/>
      </patternFill>
    </fill>
    <fill>
      <patternFill patternType="solid">
        <fgColor rgb="FFFFFBBE"/>
        <bgColor indexed="64"/>
      </patternFill>
    </fill>
    <fill>
      <patternFill patternType="mediumGray">
        <bgColor theme="0" tint="-0.14996795556505021"/>
      </patternFill>
    </fill>
    <fill>
      <patternFill patternType="mediumGray">
        <bgColor theme="0" tint="-0.14993743705557422"/>
      </patternFill>
    </fill>
    <fill>
      <patternFill patternType="darkGray">
        <bgColor theme="0" tint="-0.14996795556505021"/>
      </patternFill>
    </fill>
    <fill>
      <patternFill patternType="mediumGray">
        <bgColor theme="0" tint="-0.249977111117893"/>
      </patternFill>
    </fill>
    <fill>
      <patternFill patternType="mediumGray">
        <bgColor theme="0" tint="-0.24994659260841701"/>
      </patternFill>
    </fill>
    <fill>
      <patternFill patternType="solid">
        <fgColor theme="5" tint="0.39997558519241921"/>
        <bgColor indexed="64"/>
      </patternFill>
    </fill>
    <fill>
      <patternFill patternType="solid">
        <fgColor rgb="FFFFFF00"/>
        <bgColor rgb="FF000000"/>
      </patternFill>
    </fill>
    <fill>
      <patternFill patternType="solid">
        <fgColor theme="6" tint="0.79998168889431442"/>
        <bgColor indexed="26"/>
      </patternFill>
    </fill>
    <fill>
      <patternFill patternType="solid">
        <fgColor theme="6" tint="0.39997558519241921"/>
        <bgColor indexed="64"/>
      </patternFill>
    </fill>
    <fill>
      <patternFill patternType="solid">
        <fgColor theme="6" tint="0.39997558519241921"/>
        <bgColor indexed="26"/>
      </patternFill>
    </fill>
    <fill>
      <patternFill patternType="solid">
        <fgColor theme="6" tint="-0.249977111117893"/>
        <bgColor indexed="64"/>
      </patternFill>
    </fill>
    <fill>
      <patternFill patternType="solid">
        <fgColor theme="6" tint="-0.249977111117893"/>
        <bgColor indexed="26"/>
      </patternFill>
    </fill>
    <fill>
      <patternFill patternType="solid">
        <fgColor theme="0"/>
        <bgColor indexed="31"/>
      </patternFill>
    </fill>
    <fill>
      <patternFill patternType="solid">
        <fgColor theme="0" tint="-0.249977111117893"/>
        <bgColor indexed="22"/>
      </patternFill>
    </fill>
    <fill>
      <patternFill patternType="solid">
        <fgColor theme="0" tint="-0.34998626667073579"/>
        <bgColor theme="1"/>
      </patternFill>
    </fill>
    <fill>
      <patternFill patternType="solid">
        <fgColor rgb="FFFFFF00"/>
        <bgColor indexed="22"/>
      </patternFill>
    </fill>
    <fill>
      <patternFill patternType="solid">
        <fgColor theme="0" tint="-0.499984740745262"/>
        <bgColor indexed="64"/>
      </patternFill>
    </fill>
    <fill>
      <patternFill patternType="solid">
        <fgColor theme="1" tint="0.49998474074526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0070C0"/>
        <bgColor indexed="64"/>
      </patternFill>
    </fill>
    <fill>
      <patternFill patternType="solid">
        <fgColor theme="5" tint="-0.249977111117893"/>
        <bgColor indexed="64"/>
      </patternFill>
    </fill>
    <fill>
      <patternFill patternType="solid">
        <fgColor theme="9" tint="-0.249977111117893"/>
        <bgColor indexed="64"/>
      </patternFill>
    </fill>
    <fill>
      <patternFill patternType="solid">
        <fgColor theme="7" tint="0.79998168889431442"/>
        <bgColor indexed="64"/>
      </patternFill>
    </fill>
    <fill>
      <patternFill patternType="solid">
        <fgColor theme="7" tint="-0.249977111117893"/>
        <bgColor indexed="64"/>
      </patternFill>
    </fill>
    <fill>
      <patternFill patternType="solid">
        <fgColor theme="2" tint="-9.9978637043366805E-2"/>
        <bgColor indexed="64"/>
      </patternFill>
    </fill>
    <fill>
      <patternFill patternType="solid">
        <fgColor theme="2" tint="-0.749992370372631"/>
        <bgColor indexed="64"/>
      </patternFill>
    </fill>
    <fill>
      <patternFill patternType="solid">
        <fgColor theme="0" tint="-0.14996795556505021"/>
        <bgColor indexed="64"/>
      </patternFill>
    </fill>
    <fill>
      <patternFill patternType="solid">
        <fgColor rgb="FFFFFF00"/>
        <bgColor indexed="26"/>
      </patternFill>
    </fill>
    <fill>
      <patternFill patternType="solid">
        <fgColor theme="3" tint="0.79998168889431442"/>
        <bgColor indexed="64"/>
      </patternFill>
    </fill>
    <fill>
      <patternFill patternType="solid">
        <fgColor rgb="FFC00000"/>
        <bgColor indexed="64"/>
      </patternFill>
    </fill>
    <fill>
      <patternFill patternType="solid">
        <fgColor theme="0"/>
        <bgColor indexed="22"/>
      </patternFill>
    </fill>
    <fill>
      <patternFill patternType="solid">
        <fgColor rgb="FFC00000"/>
        <bgColor rgb="FF000000"/>
      </patternFill>
    </fill>
    <fill>
      <patternFill patternType="solid">
        <fgColor theme="6" tint="0.59999389629810485"/>
        <bgColor indexed="64"/>
      </patternFill>
    </fill>
    <fill>
      <patternFill patternType="solid">
        <fgColor theme="7" tint="0.59999389629810485"/>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7" tint="0.39997558519241921"/>
        <bgColor indexed="64"/>
      </patternFill>
    </fill>
    <fill>
      <patternFill patternType="solid">
        <fgColor theme="7" tint="-0.499984740745262"/>
        <bgColor indexed="64"/>
      </patternFill>
    </fill>
    <fill>
      <patternFill patternType="solid">
        <fgColor theme="4" tint="-0.249977111117893"/>
        <bgColor indexed="64"/>
      </patternFill>
    </fill>
  </fills>
  <borders count="916">
    <border>
      <left/>
      <right/>
      <top/>
      <bottom/>
      <diagonal/>
    </border>
    <border>
      <left style="hair">
        <color indexed="8"/>
      </left>
      <right style="hair">
        <color indexed="8"/>
      </right>
      <top style="hair">
        <color indexed="8"/>
      </top>
      <bottom style="hair">
        <color indexed="8"/>
      </bottom>
      <diagonal/>
    </border>
    <border>
      <left style="hair">
        <color indexed="8"/>
      </left>
      <right style="hair">
        <color indexed="8"/>
      </right>
      <top style="hair">
        <color indexed="8"/>
      </top>
      <bottom style="medium">
        <color indexed="8"/>
      </bottom>
      <diagonal/>
    </border>
    <border>
      <left style="hair">
        <color indexed="8"/>
      </left>
      <right style="hair">
        <color indexed="8"/>
      </right>
      <top/>
      <bottom/>
      <diagonal/>
    </border>
    <border>
      <left/>
      <right style="thin">
        <color indexed="8"/>
      </right>
      <top style="hair">
        <color indexed="8"/>
      </top>
      <bottom style="hair">
        <color indexed="8"/>
      </bottom>
      <diagonal/>
    </border>
    <border>
      <left style="thin">
        <color indexed="8"/>
      </left>
      <right/>
      <top style="hair">
        <color indexed="8"/>
      </top>
      <bottom style="hair">
        <color indexed="8"/>
      </bottom>
      <diagonal/>
    </border>
    <border>
      <left style="medium">
        <color indexed="8"/>
      </left>
      <right style="hair">
        <color indexed="8"/>
      </right>
      <top/>
      <bottom style="hair">
        <color indexed="8"/>
      </bottom>
      <diagonal/>
    </border>
    <border>
      <left style="hair">
        <color indexed="8"/>
      </left>
      <right/>
      <top style="hair">
        <color indexed="8"/>
      </top>
      <bottom style="hair">
        <color indexed="8"/>
      </bottom>
      <diagonal/>
    </border>
    <border>
      <left/>
      <right style="thin">
        <color indexed="8"/>
      </right>
      <top/>
      <bottom/>
      <diagonal/>
    </border>
    <border>
      <left style="thin">
        <color indexed="8"/>
      </left>
      <right style="thin">
        <color indexed="8"/>
      </right>
      <top style="hair">
        <color indexed="8"/>
      </top>
      <bottom style="hair">
        <color indexed="8"/>
      </bottom>
      <diagonal/>
    </border>
    <border>
      <left style="thin">
        <color indexed="8"/>
      </left>
      <right style="hair">
        <color indexed="8"/>
      </right>
      <top style="hair">
        <color indexed="8"/>
      </top>
      <bottom style="hair">
        <color indexed="8"/>
      </bottom>
      <diagonal/>
    </border>
    <border>
      <left style="hair">
        <color indexed="8"/>
      </left>
      <right style="hair">
        <color indexed="8"/>
      </right>
      <top style="hair">
        <color indexed="8"/>
      </top>
      <bottom/>
      <diagonal/>
    </border>
    <border>
      <left style="hair">
        <color indexed="8"/>
      </left>
      <right style="hair">
        <color indexed="8"/>
      </right>
      <top/>
      <bottom style="hair">
        <color indexed="8"/>
      </bottom>
      <diagonal/>
    </border>
    <border>
      <left style="hair">
        <color indexed="8"/>
      </left>
      <right style="hair">
        <color indexed="8"/>
      </right>
      <top style="hair">
        <color indexed="8"/>
      </top>
      <bottom style="thin">
        <color indexed="8"/>
      </bottom>
      <diagonal/>
    </border>
    <border>
      <left style="hair">
        <color indexed="8"/>
      </left>
      <right style="thin">
        <color indexed="8"/>
      </right>
      <top style="hair">
        <color indexed="8"/>
      </top>
      <bottom style="hair">
        <color indexed="8"/>
      </bottom>
      <diagonal/>
    </border>
    <border>
      <left style="hair">
        <color indexed="8"/>
      </left>
      <right/>
      <top/>
      <bottom/>
      <diagonal/>
    </border>
    <border>
      <left style="hair">
        <color indexed="8"/>
      </left>
      <right/>
      <top/>
      <bottom style="hair">
        <color indexed="8"/>
      </bottom>
      <diagonal/>
    </border>
    <border>
      <left style="hair">
        <color indexed="8"/>
      </left>
      <right/>
      <top style="hair">
        <color indexed="8"/>
      </top>
      <bottom/>
      <diagonal/>
    </border>
    <border>
      <left style="hair">
        <color indexed="8"/>
      </left>
      <right/>
      <top style="hair">
        <color indexed="8"/>
      </top>
      <bottom style="thin">
        <color indexed="8"/>
      </bottom>
      <diagonal/>
    </border>
    <border>
      <left style="thin">
        <color auto="1"/>
      </left>
      <right/>
      <top/>
      <bottom/>
      <diagonal/>
    </border>
    <border>
      <left style="thin">
        <color indexed="8"/>
      </left>
      <right/>
      <top style="hair">
        <color indexed="8"/>
      </top>
      <bottom style="thin">
        <color auto="1"/>
      </bottom>
      <diagonal/>
    </border>
    <border>
      <left/>
      <right style="thin">
        <color auto="1"/>
      </right>
      <top/>
      <bottom/>
      <diagonal/>
    </border>
    <border>
      <left style="hair">
        <color auto="1"/>
      </left>
      <right style="hair">
        <color auto="1"/>
      </right>
      <top style="hair">
        <color auto="1"/>
      </top>
      <bottom style="hair">
        <color auto="1"/>
      </bottom>
      <diagonal/>
    </border>
    <border>
      <left/>
      <right style="thin">
        <color auto="1"/>
      </right>
      <top style="hair">
        <color auto="1"/>
      </top>
      <bottom style="hair">
        <color auto="1"/>
      </bottom>
      <diagonal/>
    </border>
    <border>
      <left style="hair">
        <color auto="1"/>
      </left>
      <right style="hair">
        <color auto="1"/>
      </right>
      <top/>
      <bottom style="hair">
        <color auto="1"/>
      </bottom>
      <diagonal/>
    </border>
    <border>
      <left/>
      <right style="thin">
        <color auto="1"/>
      </right>
      <top/>
      <bottom style="hair">
        <color auto="1"/>
      </bottom>
      <diagonal/>
    </border>
    <border>
      <left style="hair">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hair">
        <color auto="1"/>
      </left>
      <right style="thin">
        <color auto="1"/>
      </right>
      <top style="hair">
        <color auto="1"/>
      </top>
      <bottom style="thin">
        <color auto="1"/>
      </bottom>
      <diagonal/>
    </border>
    <border>
      <left style="thin">
        <color auto="1"/>
      </left>
      <right style="thin">
        <color auto="1"/>
      </right>
      <top/>
      <bottom style="hair">
        <color auto="1"/>
      </bottom>
      <diagonal/>
    </border>
    <border>
      <left/>
      <right style="thin">
        <color auto="1"/>
      </right>
      <top/>
      <bottom style="thin">
        <color auto="1"/>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style="medium">
        <color theme="0"/>
      </left>
      <right style="hair">
        <color indexed="8"/>
      </right>
      <top style="medium">
        <color theme="0"/>
      </top>
      <bottom style="medium">
        <color indexed="8"/>
      </bottom>
      <diagonal/>
    </border>
    <border>
      <left style="hair">
        <color indexed="8"/>
      </left>
      <right style="hair">
        <color indexed="8"/>
      </right>
      <top style="medium">
        <color theme="0"/>
      </top>
      <bottom style="medium">
        <color indexed="8"/>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thin">
        <color indexed="8"/>
      </left>
      <right style="thin">
        <color indexed="8"/>
      </right>
      <top style="medium">
        <color theme="0"/>
      </top>
      <bottom style="thin">
        <color indexed="8"/>
      </bottom>
      <diagonal/>
    </border>
    <border>
      <left style="medium">
        <color auto="1"/>
      </left>
      <right/>
      <top/>
      <bottom style="hair">
        <color indexed="8"/>
      </bottom>
      <diagonal/>
    </border>
    <border>
      <left style="hair">
        <color indexed="8"/>
      </left>
      <right style="hair">
        <color indexed="8"/>
      </right>
      <top style="hair">
        <color indexed="8"/>
      </top>
      <bottom style="medium">
        <color auto="1"/>
      </bottom>
      <diagonal/>
    </border>
    <border>
      <left style="hair">
        <color indexed="8"/>
      </left>
      <right style="medium">
        <color auto="1"/>
      </right>
      <top style="hair">
        <color indexed="8"/>
      </top>
      <bottom style="medium">
        <color auto="1"/>
      </bottom>
      <diagonal/>
    </border>
    <border>
      <left/>
      <right/>
      <top/>
      <bottom style="thin">
        <color auto="1"/>
      </bottom>
      <diagonal/>
    </border>
    <border>
      <left/>
      <right/>
      <top/>
      <bottom style="medium">
        <color auto="1"/>
      </bottom>
      <diagonal/>
    </border>
    <border>
      <left style="medium">
        <color auto="1"/>
      </left>
      <right/>
      <top style="hair">
        <color indexed="8"/>
      </top>
      <bottom/>
      <diagonal/>
    </border>
    <border>
      <left style="medium">
        <color auto="1"/>
      </left>
      <right style="medium">
        <color indexed="8"/>
      </right>
      <top style="hair">
        <color indexed="8"/>
      </top>
      <bottom/>
      <diagonal/>
    </border>
    <border>
      <left/>
      <right style="medium">
        <color auto="1"/>
      </right>
      <top/>
      <bottom/>
      <diagonal/>
    </border>
    <border>
      <left style="medium">
        <color auto="1"/>
      </left>
      <right/>
      <top/>
      <bottom/>
      <diagonal/>
    </border>
    <border>
      <left style="medium">
        <color auto="1"/>
      </left>
      <right style="hair">
        <color indexed="8"/>
      </right>
      <top style="hair">
        <color indexed="8"/>
      </top>
      <bottom/>
      <diagonal/>
    </border>
    <border>
      <left style="thin">
        <color indexed="8"/>
      </left>
      <right style="medium">
        <color indexed="8"/>
      </right>
      <top style="medium">
        <color rgb="FFFF0000"/>
      </top>
      <bottom style="thin">
        <color indexed="8"/>
      </bottom>
      <diagonal/>
    </border>
    <border>
      <left style="medium">
        <color indexed="8"/>
      </left>
      <right style="medium">
        <color indexed="8"/>
      </right>
      <top style="medium">
        <color rgb="FFFF0000"/>
      </top>
      <bottom style="thin">
        <color indexed="8"/>
      </bottom>
      <diagonal/>
    </border>
    <border>
      <left style="medium">
        <color auto="1"/>
      </left>
      <right style="thin">
        <color indexed="8"/>
      </right>
      <top style="medium">
        <color rgb="FFFF0000"/>
      </top>
      <bottom/>
      <diagonal/>
    </border>
    <border>
      <left style="medium">
        <color indexed="8"/>
      </left>
      <right style="medium">
        <color auto="1"/>
      </right>
      <top style="medium">
        <color rgb="FFFF0000"/>
      </top>
      <bottom style="thin">
        <color indexed="8"/>
      </bottom>
      <diagonal/>
    </border>
    <border>
      <left/>
      <right style="medium">
        <color indexed="8"/>
      </right>
      <top/>
      <bottom/>
      <diagonal/>
    </border>
    <border>
      <left style="thin">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thin">
        <color auto="1"/>
      </left>
      <right style="hair">
        <color auto="1"/>
      </right>
      <top style="hair">
        <color auto="1"/>
      </top>
      <bottom style="hair">
        <color auto="1"/>
      </bottom>
      <diagonal/>
    </border>
    <border>
      <left style="hair">
        <color auto="1"/>
      </left>
      <right/>
      <top/>
      <bottom/>
      <diagonal/>
    </border>
    <border>
      <left style="thin">
        <color auto="1"/>
      </left>
      <right style="hair">
        <color auto="1"/>
      </right>
      <top/>
      <bottom style="hair">
        <color auto="1"/>
      </bottom>
      <diagonal/>
    </border>
    <border>
      <left/>
      <right/>
      <top style="medium">
        <color rgb="FFFFFFFF"/>
      </top>
      <bottom/>
      <diagonal/>
    </border>
    <border>
      <left/>
      <right/>
      <top/>
      <bottom style="medium">
        <color rgb="FFFFFFFF"/>
      </bottom>
      <diagonal/>
    </border>
    <border>
      <left style="thin">
        <color indexed="8"/>
      </left>
      <right style="hair">
        <color indexed="8"/>
      </right>
      <top/>
      <bottom style="hair">
        <color indexed="8"/>
      </bottom>
      <diagonal/>
    </border>
    <border>
      <left style="thin">
        <color indexed="8"/>
      </left>
      <right/>
      <top/>
      <bottom style="hair">
        <color indexed="8"/>
      </bottom>
      <diagonal/>
    </border>
    <border>
      <left style="thin">
        <color auto="1"/>
      </left>
      <right style="thin">
        <color auto="1"/>
      </right>
      <top/>
      <bottom style="hair">
        <color indexed="8"/>
      </bottom>
      <diagonal/>
    </border>
    <border>
      <left/>
      <right style="hair">
        <color indexed="8"/>
      </right>
      <top style="hair">
        <color indexed="8"/>
      </top>
      <bottom style="hair">
        <color indexed="8"/>
      </bottom>
      <diagonal/>
    </border>
    <border>
      <left/>
      <right style="thin">
        <color auto="1"/>
      </right>
      <top style="hair">
        <color auto="1"/>
      </top>
      <bottom/>
      <diagonal/>
    </border>
    <border>
      <left style="thin">
        <color theme="0" tint="-4.9989318521683403E-2"/>
      </left>
      <right style="thin">
        <color theme="0" tint="-4.9989318521683403E-2"/>
      </right>
      <top style="thin">
        <color theme="0"/>
      </top>
      <bottom style="thin">
        <color theme="0"/>
      </bottom>
      <diagonal/>
    </border>
    <border>
      <left style="thin">
        <color theme="0" tint="-4.9989318521683403E-2"/>
      </left>
      <right style="thin">
        <color theme="0" tint="-4.9989318521683403E-2"/>
      </right>
      <top/>
      <bottom style="medium">
        <color theme="0"/>
      </bottom>
      <diagonal/>
    </border>
    <border>
      <left style="thin">
        <color theme="0" tint="-4.9989318521683403E-2"/>
      </left>
      <right/>
      <top style="thin">
        <color theme="0"/>
      </top>
      <bottom style="thin">
        <color theme="0"/>
      </bottom>
      <diagonal/>
    </border>
    <border>
      <left style="thin">
        <color theme="0" tint="-4.9989318521683403E-2"/>
      </left>
      <right/>
      <top/>
      <bottom style="medium">
        <color theme="0"/>
      </bottom>
      <diagonal/>
    </border>
    <border>
      <left style="medium">
        <color auto="1"/>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right style="hair">
        <color indexed="8"/>
      </right>
      <top style="hair">
        <color indexed="8"/>
      </top>
      <bottom style="medium">
        <color auto="1"/>
      </bottom>
      <diagonal/>
    </border>
    <border>
      <left/>
      <right style="thin">
        <color indexed="8"/>
      </right>
      <top/>
      <bottom style="thin">
        <color auto="1"/>
      </bottom>
      <diagonal/>
    </border>
    <border>
      <left/>
      <right style="hair">
        <color auto="1"/>
      </right>
      <top/>
      <bottom style="hair">
        <color auto="1"/>
      </bottom>
      <diagonal/>
    </border>
    <border>
      <left style="medium">
        <color auto="1"/>
      </left>
      <right/>
      <top style="hair">
        <color indexed="8"/>
      </top>
      <bottom style="hair">
        <color auto="1"/>
      </bottom>
      <diagonal/>
    </border>
    <border>
      <left/>
      <right style="hair">
        <color indexed="8"/>
      </right>
      <top/>
      <bottom style="hair">
        <color indexed="8"/>
      </bottom>
      <diagonal/>
    </border>
    <border>
      <left style="thin">
        <color theme="0" tint="-4.9989318521683403E-2"/>
      </left>
      <right style="medium">
        <color theme="0"/>
      </right>
      <top style="thin">
        <color theme="0"/>
      </top>
      <bottom style="thin">
        <color theme="0"/>
      </bottom>
      <diagonal/>
    </border>
    <border>
      <left/>
      <right style="medium">
        <color theme="0"/>
      </right>
      <top style="thin">
        <color theme="0"/>
      </top>
      <bottom style="thin">
        <color theme="0"/>
      </bottom>
      <diagonal/>
    </border>
    <border>
      <left style="medium">
        <color auto="1"/>
      </left>
      <right/>
      <top style="hair">
        <color auto="1"/>
      </top>
      <bottom style="hair">
        <color indexed="8"/>
      </bottom>
      <diagonal/>
    </border>
    <border>
      <left/>
      <right style="thin">
        <color indexed="8"/>
      </right>
      <top/>
      <bottom style="hair">
        <color indexed="8"/>
      </bottom>
      <diagonal/>
    </border>
    <border>
      <left/>
      <right style="thin">
        <color indexed="8"/>
      </right>
      <top style="thin">
        <color theme="1"/>
      </top>
      <bottom style="thin">
        <color theme="1"/>
      </bottom>
      <diagonal/>
    </border>
    <border>
      <left style="medium">
        <color theme="1"/>
      </left>
      <right style="thin">
        <color auto="1"/>
      </right>
      <top style="medium">
        <color theme="1"/>
      </top>
      <bottom style="medium">
        <color theme="1"/>
      </bottom>
      <diagonal/>
    </border>
    <border>
      <left style="thin">
        <color auto="1"/>
      </left>
      <right style="thin">
        <color auto="1"/>
      </right>
      <top style="medium">
        <color theme="1"/>
      </top>
      <bottom style="medium">
        <color theme="1"/>
      </bottom>
      <diagonal/>
    </border>
    <border>
      <left style="thin">
        <color auto="1"/>
      </left>
      <right style="medium">
        <color theme="1"/>
      </right>
      <top style="medium">
        <color theme="1"/>
      </top>
      <bottom style="medium">
        <color theme="1"/>
      </bottom>
      <diagonal/>
    </border>
    <border>
      <left style="medium">
        <color auto="1"/>
      </left>
      <right style="thin">
        <color theme="1"/>
      </right>
      <top style="thin">
        <color theme="1"/>
      </top>
      <bottom style="thin">
        <color theme="1"/>
      </bottom>
      <diagonal/>
    </border>
    <border>
      <left style="thin">
        <color theme="1"/>
      </left>
      <right style="medium">
        <color auto="1"/>
      </right>
      <top style="thin">
        <color theme="1"/>
      </top>
      <bottom style="thin">
        <color theme="1"/>
      </bottom>
      <diagonal/>
    </border>
    <border>
      <left style="medium">
        <color auto="1"/>
      </left>
      <right style="thin">
        <color theme="1"/>
      </right>
      <top style="thin">
        <color theme="1"/>
      </top>
      <bottom/>
      <diagonal/>
    </border>
    <border>
      <left style="thin">
        <color theme="1"/>
      </left>
      <right style="medium">
        <color auto="1"/>
      </right>
      <top style="thin">
        <color theme="1"/>
      </top>
      <bottom/>
      <diagonal/>
    </border>
    <border>
      <left style="medium">
        <color auto="1"/>
      </left>
      <right style="thin">
        <color theme="1"/>
      </right>
      <top/>
      <bottom style="thin">
        <color theme="1"/>
      </bottom>
      <diagonal/>
    </border>
    <border>
      <left style="thin">
        <color theme="1"/>
      </left>
      <right style="medium">
        <color auto="1"/>
      </right>
      <top/>
      <bottom style="thin">
        <color theme="1"/>
      </bottom>
      <diagonal/>
    </border>
    <border>
      <left style="thin">
        <color indexed="8"/>
      </left>
      <right style="medium">
        <color auto="1"/>
      </right>
      <top style="hair">
        <color indexed="8"/>
      </top>
      <bottom style="hair">
        <color indexed="8"/>
      </bottom>
      <diagonal/>
    </border>
    <border>
      <left style="thin">
        <color theme="1"/>
      </left>
      <right style="medium">
        <color auto="1"/>
      </right>
      <top/>
      <bottom/>
      <diagonal/>
    </border>
    <border>
      <left/>
      <right style="thin">
        <color theme="0" tint="-4.9989318521683403E-2"/>
      </right>
      <top style="thin">
        <color theme="0"/>
      </top>
      <bottom style="thin">
        <color theme="0"/>
      </bottom>
      <diagonal/>
    </border>
    <border>
      <left/>
      <right style="thin">
        <color theme="0" tint="-4.9989318521683403E-2"/>
      </right>
      <top/>
      <bottom style="medium">
        <color theme="0"/>
      </bottom>
      <diagonal/>
    </border>
    <border>
      <left style="hair">
        <color indexed="8"/>
      </left>
      <right style="thin">
        <color auto="1"/>
      </right>
      <top/>
      <bottom style="hair">
        <color indexed="8"/>
      </bottom>
      <diagonal/>
    </border>
    <border>
      <left style="medium">
        <color theme="0"/>
      </left>
      <right style="thin">
        <color auto="1"/>
      </right>
      <top style="thin">
        <color theme="0"/>
      </top>
      <bottom style="thin">
        <color theme="0"/>
      </bottom>
      <diagonal/>
    </border>
    <border>
      <left style="medium">
        <color theme="0"/>
      </left>
      <right style="thin">
        <color auto="1"/>
      </right>
      <top/>
      <bottom style="medium">
        <color theme="0"/>
      </bottom>
      <diagonal/>
    </border>
    <border>
      <left/>
      <right style="thin">
        <color auto="1"/>
      </right>
      <top style="medium">
        <color theme="0"/>
      </top>
      <bottom style="medium">
        <color theme="0"/>
      </bottom>
      <diagonal/>
    </border>
    <border>
      <left style="hair">
        <color auto="1"/>
      </left>
      <right/>
      <top style="hair">
        <color auto="1"/>
      </top>
      <bottom style="hair">
        <color auto="1"/>
      </bottom>
      <diagonal/>
    </border>
    <border>
      <left style="hair">
        <color auto="1"/>
      </left>
      <right/>
      <top/>
      <bottom style="hair">
        <color auto="1"/>
      </bottom>
      <diagonal/>
    </border>
    <border>
      <left/>
      <right/>
      <top style="thin">
        <color theme="1"/>
      </top>
      <bottom/>
      <diagonal/>
    </border>
    <border>
      <left/>
      <right/>
      <top style="thin">
        <color theme="1"/>
      </top>
      <bottom style="thin">
        <color theme="1"/>
      </bottom>
      <diagonal/>
    </border>
    <border>
      <left/>
      <right/>
      <top style="hair">
        <color indexed="8"/>
      </top>
      <bottom style="hair">
        <color indexed="8"/>
      </bottom>
      <diagonal/>
    </border>
    <border>
      <left/>
      <right/>
      <top style="hair">
        <color indexed="8"/>
      </top>
      <bottom/>
      <diagonal/>
    </border>
    <border>
      <left/>
      <right/>
      <top/>
      <bottom style="hair">
        <color indexed="8"/>
      </bottom>
      <diagonal/>
    </border>
    <border>
      <left/>
      <right/>
      <top style="hair">
        <color indexed="8"/>
      </top>
      <bottom style="thin">
        <color indexed="8"/>
      </bottom>
      <diagonal/>
    </border>
    <border>
      <left style="medium">
        <color auto="1"/>
      </left>
      <right style="hair">
        <color auto="1"/>
      </right>
      <top/>
      <bottom style="hair">
        <color auto="1"/>
      </bottom>
      <diagonal/>
    </border>
    <border>
      <left style="hair">
        <color auto="1"/>
      </left>
      <right style="medium">
        <color auto="1"/>
      </right>
      <top/>
      <bottom style="hair">
        <color auto="1"/>
      </bottom>
      <diagonal/>
    </border>
    <border>
      <left/>
      <right style="hair">
        <color indexed="8"/>
      </right>
      <top/>
      <bottom/>
      <diagonal/>
    </border>
    <border>
      <left/>
      <right style="hair">
        <color indexed="8"/>
      </right>
      <top style="hair">
        <color indexed="8"/>
      </top>
      <bottom/>
      <diagonal/>
    </border>
    <border>
      <left/>
      <right style="hair">
        <color indexed="8"/>
      </right>
      <top style="hair">
        <color indexed="8"/>
      </top>
      <bottom style="thin">
        <color indexed="8"/>
      </bottom>
      <diagonal/>
    </border>
    <border>
      <left style="hair">
        <color auto="1"/>
      </left>
      <right style="hair">
        <color auto="1"/>
      </right>
      <top style="hair">
        <color auto="1"/>
      </top>
      <bottom/>
      <diagonal/>
    </border>
    <border>
      <left style="hair">
        <color indexed="8"/>
      </left>
      <right style="medium">
        <color indexed="64"/>
      </right>
      <top style="hair">
        <color indexed="8"/>
      </top>
      <bottom style="hair">
        <color indexed="8"/>
      </bottom>
      <diagonal/>
    </border>
    <border>
      <left style="thin">
        <color auto="1"/>
      </left>
      <right style="thin">
        <color auto="1"/>
      </right>
      <top style="medium">
        <color theme="1"/>
      </top>
      <bottom/>
      <diagonal/>
    </border>
    <border>
      <left style="medium">
        <color theme="0"/>
      </left>
      <right style="thin">
        <color auto="1"/>
      </right>
      <top/>
      <bottom/>
      <diagonal/>
    </border>
    <border>
      <left style="medium">
        <color indexed="64"/>
      </left>
      <right style="thin">
        <color indexed="8"/>
      </right>
      <top/>
      <bottom/>
      <diagonal/>
    </border>
    <border>
      <left style="medium">
        <color indexed="64"/>
      </left>
      <right style="medium">
        <color indexed="8"/>
      </right>
      <top/>
      <bottom/>
      <diagonal/>
    </border>
    <border>
      <left style="medium">
        <color indexed="64"/>
      </left>
      <right style="medium">
        <color indexed="64"/>
      </right>
      <top/>
      <bottom/>
      <diagonal/>
    </border>
    <border>
      <left style="medium">
        <color theme="0"/>
      </left>
      <right style="medium">
        <color theme="0"/>
      </right>
      <top style="medium">
        <color theme="0"/>
      </top>
      <bottom style="medium">
        <color theme="0"/>
      </bottom>
      <diagonal/>
    </border>
    <border>
      <left style="hair">
        <color indexed="8"/>
      </left>
      <right/>
      <top/>
      <bottom style="medium">
        <color indexed="64"/>
      </bottom>
      <diagonal/>
    </border>
    <border>
      <left style="medium">
        <color indexed="64"/>
      </left>
      <right style="hair">
        <color indexed="8"/>
      </right>
      <top/>
      <bottom style="hair">
        <color indexed="8"/>
      </bottom>
      <diagonal/>
    </border>
    <border>
      <left style="medium">
        <color indexed="64"/>
      </left>
      <right style="hair">
        <color indexed="8"/>
      </right>
      <top style="hair">
        <color indexed="8"/>
      </top>
      <bottom style="hair">
        <color indexed="8"/>
      </bottom>
      <diagonal/>
    </border>
    <border>
      <left style="medium">
        <color indexed="64"/>
      </left>
      <right style="hair">
        <color indexed="8"/>
      </right>
      <top/>
      <bottom/>
      <diagonal/>
    </border>
    <border>
      <left style="medium">
        <color indexed="64"/>
      </left>
      <right style="hair">
        <color indexed="8"/>
      </right>
      <top style="hair">
        <color indexed="8"/>
      </top>
      <bottom style="thin">
        <color indexed="8"/>
      </bottom>
      <diagonal/>
    </border>
    <border>
      <left/>
      <right/>
      <top style="thin">
        <color rgb="FF000000"/>
      </top>
      <bottom style="thin">
        <color rgb="FF000000"/>
      </bottom>
      <diagonal/>
    </border>
    <border>
      <left style="thin">
        <color indexed="8"/>
      </left>
      <right/>
      <top style="thin">
        <color theme="1"/>
      </top>
      <bottom style="thin">
        <color indexed="8"/>
      </bottom>
      <diagonal/>
    </border>
    <border>
      <left style="hair">
        <color indexed="8"/>
      </left>
      <right/>
      <top style="hair">
        <color indexed="8"/>
      </top>
      <bottom style="medium">
        <color indexed="8"/>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medium">
        <color indexed="64"/>
      </right>
      <top style="medium">
        <color indexed="64"/>
      </top>
      <bottom style="hair">
        <color indexed="8"/>
      </bottom>
      <diagonal/>
    </border>
    <border>
      <left style="medium">
        <color indexed="64"/>
      </left>
      <right style="thin">
        <color auto="1"/>
      </right>
      <top/>
      <bottom style="hair">
        <color auto="1"/>
      </bottom>
      <diagonal/>
    </border>
    <border>
      <left style="medium">
        <color indexed="64"/>
      </left>
      <right style="thin">
        <color auto="1"/>
      </right>
      <top style="hair">
        <color auto="1"/>
      </top>
      <bottom style="medium">
        <color indexed="64"/>
      </bottom>
      <diagonal/>
    </border>
    <border>
      <left style="thin">
        <color auto="1"/>
      </left>
      <right/>
      <top style="hair">
        <color indexed="8"/>
      </top>
      <bottom style="hair">
        <color indexed="8"/>
      </bottom>
      <diagonal/>
    </border>
    <border>
      <left style="thin">
        <color auto="1"/>
      </left>
      <right/>
      <top style="hair">
        <color indexed="8"/>
      </top>
      <bottom style="hair">
        <color auto="1"/>
      </bottom>
      <diagonal/>
    </border>
    <border>
      <left style="thin">
        <color auto="1"/>
      </left>
      <right/>
      <top style="hair">
        <color auto="1"/>
      </top>
      <bottom style="hair">
        <color indexed="8"/>
      </bottom>
      <diagonal/>
    </border>
    <border>
      <left style="thin">
        <color auto="1"/>
      </left>
      <right/>
      <top style="hair">
        <color indexed="8"/>
      </top>
      <bottom style="thin">
        <color auto="1"/>
      </bottom>
      <diagonal/>
    </border>
    <border>
      <left/>
      <right style="hair">
        <color auto="1"/>
      </right>
      <top style="hair">
        <color indexed="8"/>
      </top>
      <bottom style="hair">
        <color auto="1"/>
      </bottom>
      <diagonal/>
    </border>
    <border>
      <left/>
      <right style="hair">
        <color auto="1"/>
      </right>
      <top style="hair">
        <color auto="1"/>
      </top>
      <bottom style="hair">
        <color indexed="8"/>
      </bottom>
      <diagonal/>
    </border>
    <border>
      <left/>
      <right style="hair">
        <color indexed="8"/>
      </right>
      <top style="hair">
        <color indexed="8"/>
      </top>
      <bottom style="thin">
        <color auto="1"/>
      </bottom>
      <diagonal/>
    </border>
    <border>
      <left style="thin">
        <color indexed="64"/>
      </left>
      <right style="thin">
        <color indexed="64"/>
      </right>
      <top style="thin">
        <color indexed="64"/>
      </top>
      <bottom style="hair">
        <color indexed="8"/>
      </bottom>
      <diagonal/>
    </border>
    <border>
      <left style="thin">
        <color indexed="64"/>
      </left>
      <right style="thin">
        <color indexed="64"/>
      </right>
      <top style="hair">
        <color indexed="8"/>
      </top>
      <bottom style="hair">
        <color indexed="8"/>
      </bottom>
      <diagonal/>
    </border>
    <border>
      <left style="thin">
        <color indexed="64"/>
      </left>
      <right style="thin">
        <color indexed="64"/>
      </right>
      <top style="hair">
        <color indexed="8"/>
      </top>
      <bottom style="hair">
        <color auto="1"/>
      </bottom>
      <diagonal/>
    </border>
    <border>
      <left style="thin">
        <color indexed="64"/>
      </left>
      <right style="thin">
        <color indexed="64"/>
      </right>
      <top style="hair">
        <color auto="1"/>
      </top>
      <bottom style="hair">
        <color indexed="8"/>
      </bottom>
      <diagonal/>
    </border>
    <border>
      <left style="thin">
        <color indexed="64"/>
      </left>
      <right style="thin">
        <color indexed="64"/>
      </right>
      <top style="hair">
        <color indexed="8"/>
      </top>
      <bottom style="thin">
        <color indexed="64"/>
      </bottom>
      <diagonal/>
    </border>
    <border>
      <left style="hair">
        <color auto="1"/>
      </left>
      <right/>
      <top style="hair">
        <color indexed="8"/>
      </top>
      <bottom style="hair">
        <color auto="1"/>
      </bottom>
      <diagonal/>
    </border>
    <border>
      <left style="hair">
        <color auto="1"/>
      </left>
      <right/>
      <top style="hair">
        <color auto="1"/>
      </top>
      <bottom style="hair">
        <color indexed="8"/>
      </bottom>
      <diagonal/>
    </border>
    <border>
      <left style="hair">
        <color indexed="8"/>
      </left>
      <right/>
      <top style="hair">
        <color indexed="8"/>
      </top>
      <bottom style="thin">
        <color auto="1"/>
      </bottom>
      <diagonal/>
    </border>
    <border>
      <left/>
      <right style="thin">
        <color indexed="8"/>
      </right>
      <top style="hair">
        <color indexed="8"/>
      </top>
      <bottom style="thin">
        <color auto="1"/>
      </bottom>
      <diagonal/>
    </border>
    <border>
      <left style="thin">
        <color indexed="64"/>
      </left>
      <right style="thin">
        <color indexed="64"/>
      </right>
      <top style="hair">
        <color indexed="8"/>
      </top>
      <bottom/>
      <diagonal/>
    </border>
    <border>
      <left/>
      <right style="thin">
        <color indexed="8"/>
      </right>
      <top style="hair">
        <color indexed="8"/>
      </top>
      <bottom/>
      <diagonal/>
    </border>
    <border>
      <left style="thin">
        <color indexed="8"/>
      </left>
      <right/>
      <top style="hair">
        <color indexed="8"/>
      </top>
      <bottom/>
      <diagonal/>
    </border>
    <border>
      <left style="thin">
        <color indexed="8"/>
      </left>
      <right style="hair">
        <color indexed="8"/>
      </right>
      <top style="hair">
        <color indexed="8"/>
      </top>
      <bottom/>
      <diagonal/>
    </border>
    <border>
      <left style="thin">
        <color indexed="8"/>
      </left>
      <right style="thin">
        <color indexed="8"/>
      </right>
      <top style="hair">
        <color indexed="8"/>
      </top>
      <bottom/>
      <diagonal/>
    </border>
    <border>
      <left style="thin">
        <color indexed="8"/>
      </left>
      <right style="thin">
        <color indexed="8"/>
      </right>
      <top style="hair">
        <color indexed="8"/>
      </top>
      <bottom style="medium">
        <color auto="1"/>
      </bottom>
      <diagonal/>
    </border>
    <border>
      <left style="medium">
        <color indexed="8"/>
      </left>
      <right/>
      <top/>
      <bottom/>
      <diagonal/>
    </border>
    <border>
      <left style="medium">
        <color indexed="8"/>
      </left>
      <right style="medium">
        <color indexed="8"/>
      </right>
      <top/>
      <bottom/>
      <diagonal/>
    </border>
    <border>
      <left style="medium">
        <color auto="1"/>
      </left>
      <right style="medium">
        <color auto="1"/>
      </right>
      <top/>
      <bottom/>
      <diagonal/>
    </border>
    <border>
      <left style="medium">
        <color auto="1"/>
      </left>
      <right style="medium">
        <color indexed="8"/>
      </right>
      <top/>
      <bottom/>
      <diagonal/>
    </border>
    <border>
      <left style="medium">
        <color indexed="8"/>
      </left>
      <right style="medium">
        <color auto="1"/>
      </right>
      <top/>
      <bottom/>
      <diagonal/>
    </border>
    <border>
      <left style="medium">
        <color indexed="64"/>
      </left>
      <right style="thin">
        <color auto="1"/>
      </right>
      <top/>
      <bottom style="medium">
        <color indexed="64"/>
      </bottom>
      <diagonal/>
    </border>
    <border>
      <left style="medium">
        <color auto="1"/>
      </left>
      <right/>
      <top style="hair">
        <color indexed="8"/>
      </top>
      <bottom style="hair">
        <color indexed="8"/>
      </bottom>
      <diagonal/>
    </border>
    <border>
      <left style="medium">
        <color indexed="64"/>
      </left>
      <right style="medium">
        <color indexed="8"/>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auto="1"/>
      </left>
      <right style="thin">
        <color theme="1"/>
      </right>
      <top/>
      <bottom/>
      <diagonal/>
    </border>
    <border>
      <left style="hair">
        <color indexed="8"/>
      </left>
      <right style="medium">
        <color indexed="8"/>
      </right>
      <top style="hair">
        <color indexed="8"/>
      </top>
      <bottom style="hair">
        <color indexed="8"/>
      </bottom>
      <diagonal/>
    </border>
    <border>
      <left style="thin">
        <color indexed="64"/>
      </left>
      <right style="medium">
        <color indexed="64"/>
      </right>
      <top style="thin">
        <color indexed="64"/>
      </top>
      <bottom style="medium">
        <color indexed="64"/>
      </bottom>
      <diagonal/>
    </border>
    <border>
      <left style="medium">
        <color auto="1"/>
      </left>
      <right style="thin">
        <color indexed="8"/>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auto="1"/>
      </right>
      <top style="medium">
        <color indexed="64"/>
      </top>
      <bottom style="hair">
        <color auto="1"/>
      </bottom>
      <diagonal/>
    </border>
    <border>
      <left/>
      <right/>
      <top style="medium">
        <color auto="1"/>
      </top>
      <bottom style="thin">
        <color auto="1"/>
      </bottom>
      <diagonal/>
    </border>
    <border>
      <left/>
      <right style="medium">
        <color indexed="64"/>
      </right>
      <top style="medium">
        <color indexed="64"/>
      </top>
      <bottom style="thin">
        <color auto="1"/>
      </bottom>
      <diagonal/>
    </border>
    <border>
      <left style="medium">
        <color indexed="8"/>
      </left>
      <right style="medium">
        <color indexed="8"/>
      </right>
      <top/>
      <bottom style="medium">
        <color indexed="64"/>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style="thin">
        <color indexed="8"/>
      </top>
      <bottom style="medium">
        <color indexed="8"/>
      </bottom>
      <diagonal/>
    </border>
    <border>
      <left style="thin">
        <color indexed="8"/>
      </left>
      <right style="thin">
        <color indexed="8"/>
      </right>
      <top style="thin">
        <color indexed="8"/>
      </top>
      <bottom style="hair">
        <color indexed="8"/>
      </bottom>
      <diagonal/>
    </border>
    <border>
      <left style="medium">
        <color auto="1"/>
      </left>
      <right/>
      <top style="thin">
        <color indexed="8"/>
      </top>
      <bottom/>
      <diagonal/>
    </border>
    <border>
      <left style="medium">
        <color indexed="8"/>
      </left>
      <right/>
      <top/>
      <bottom style="medium">
        <color indexed="64"/>
      </bottom>
      <diagonal/>
    </border>
    <border>
      <left/>
      <right style="thin">
        <color indexed="64"/>
      </right>
      <top style="medium">
        <color auto="1"/>
      </top>
      <bottom/>
      <diagonal/>
    </border>
    <border>
      <left style="thin">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indexed="64"/>
      </left>
      <right/>
      <top style="thin">
        <color auto="1"/>
      </top>
      <bottom/>
      <diagonal/>
    </border>
    <border>
      <left style="hair">
        <color indexed="8"/>
      </left>
      <right style="hair">
        <color indexed="8"/>
      </right>
      <top/>
      <bottom style="medium">
        <color indexed="8"/>
      </bottom>
      <diagonal/>
    </border>
    <border>
      <left/>
      <right/>
      <top/>
      <bottom style="medium">
        <color indexed="64"/>
      </bottom>
      <diagonal/>
    </border>
    <border>
      <left style="hair">
        <color indexed="8"/>
      </left>
      <right style="hair">
        <color indexed="8"/>
      </right>
      <top/>
      <bottom style="medium">
        <color auto="1"/>
      </bottom>
      <diagonal/>
    </border>
    <border>
      <left/>
      <right style="thin">
        <color auto="1"/>
      </right>
      <top style="thin">
        <color auto="1"/>
      </top>
      <bottom style="medium">
        <color indexed="64"/>
      </bottom>
      <diagonal/>
    </border>
    <border>
      <left style="thin">
        <color auto="1"/>
      </left>
      <right/>
      <top style="medium">
        <color auto="1"/>
      </top>
      <bottom/>
      <diagonal/>
    </border>
    <border>
      <left/>
      <right style="medium">
        <color auto="1"/>
      </right>
      <top/>
      <bottom style="medium">
        <color auto="1"/>
      </bottom>
      <diagonal/>
    </border>
    <border>
      <left style="medium">
        <color indexed="64"/>
      </left>
      <right style="thin">
        <color indexed="64"/>
      </right>
      <top style="thin">
        <color indexed="64"/>
      </top>
      <bottom style="medium">
        <color indexed="64"/>
      </bottom>
      <diagonal/>
    </border>
    <border>
      <left/>
      <right style="thin">
        <color auto="1"/>
      </right>
      <top/>
      <bottom style="medium">
        <color indexed="64"/>
      </bottom>
      <diagonal/>
    </border>
    <border>
      <left style="thin">
        <color auto="1"/>
      </left>
      <right style="medium">
        <color auto="1"/>
      </right>
      <top/>
      <bottom style="medium">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auto="1"/>
      </top>
      <bottom style="thin">
        <color auto="1"/>
      </bottom>
      <diagonal/>
    </border>
    <border>
      <left style="medium">
        <color indexed="8"/>
      </left>
      <right style="hair">
        <color indexed="8"/>
      </right>
      <top style="hair">
        <color indexed="8"/>
      </top>
      <bottom style="hair">
        <color indexed="8"/>
      </bottom>
      <diagonal/>
    </border>
    <border>
      <left style="thin">
        <color indexed="64"/>
      </left>
      <right style="thin">
        <color indexed="64"/>
      </right>
      <top style="thin">
        <color indexed="64"/>
      </top>
      <bottom style="thin">
        <color indexed="64"/>
      </bottom>
      <diagonal/>
    </border>
    <border>
      <left style="thin">
        <color indexed="8"/>
      </left>
      <right/>
      <top/>
      <bottom style="medium">
        <color indexed="64"/>
      </bottom>
      <diagonal/>
    </border>
    <border>
      <left style="thin">
        <color auto="1"/>
      </left>
      <right style="thin">
        <color auto="1"/>
      </right>
      <top/>
      <bottom style="medium">
        <color indexed="64"/>
      </bottom>
      <diagonal/>
    </border>
    <border>
      <left/>
      <right style="medium">
        <color indexed="8"/>
      </right>
      <top/>
      <bottom style="medium">
        <color indexed="64"/>
      </bottom>
      <diagonal/>
    </border>
    <border>
      <left style="medium">
        <color indexed="64"/>
      </left>
      <right/>
      <top/>
      <bottom style="medium">
        <color indexed="8"/>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style="thin">
        <color indexed="8"/>
      </right>
      <top style="thin">
        <color indexed="8"/>
      </top>
      <bottom/>
      <diagonal/>
    </border>
    <border>
      <left style="thin">
        <color indexed="64"/>
      </left>
      <right style="thin">
        <color indexed="64"/>
      </right>
      <top style="medium">
        <color indexed="64"/>
      </top>
      <bottom style="medium">
        <color indexed="64"/>
      </bottom>
      <diagonal/>
    </border>
    <border>
      <left style="thin">
        <color auto="1"/>
      </left>
      <right style="medium">
        <color indexed="64"/>
      </right>
      <top style="thin">
        <color auto="1"/>
      </top>
      <bottom style="thin">
        <color auto="1"/>
      </bottom>
      <diagonal/>
    </border>
    <border>
      <left style="medium">
        <color auto="1"/>
      </left>
      <right style="thin">
        <color auto="1"/>
      </right>
      <top style="thin">
        <color auto="1"/>
      </top>
      <bottom style="thin">
        <color auto="1"/>
      </bottom>
      <diagonal/>
    </border>
    <border>
      <left style="thin">
        <color indexed="8"/>
      </left>
      <right style="medium">
        <color auto="1"/>
      </right>
      <top style="thin">
        <color indexed="8"/>
      </top>
      <bottom/>
      <diagonal/>
    </border>
    <border>
      <left style="hair">
        <color auto="1"/>
      </left>
      <right style="hair">
        <color auto="1"/>
      </right>
      <top style="medium">
        <color auto="1"/>
      </top>
      <bottom style="hair">
        <color auto="1"/>
      </bottom>
      <diagonal/>
    </border>
    <border>
      <left style="medium">
        <color auto="1"/>
      </left>
      <right/>
      <top style="medium">
        <color auto="1"/>
      </top>
      <bottom style="medium">
        <color auto="1"/>
      </bottom>
      <diagonal/>
    </border>
    <border>
      <left style="thin">
        <color theme="1"/>
      </left>
      <right style="medium">
        <color auto="1"/>
      </right>
      <top/>
      <bottom style="medium">
        <color auto="1"/>
      </bottom>
      <diagonal/>
    </border>
    <border>
      <left/>
      <right/>
      <top style="medium">
        <color indexed="64"/>
      </top>
      <bottom style="medium">
        <color auto="1"/>
      </bottom>
      <diagonal/>
    </border>
    <border>
      <left/>
      <right style="medium">
        <color indexed="64"/>
      </right>
      <top style="medium">
        <color indexed="64"/>
      </top>
      <bottom style="medium">
        <color indexed="64"/>
      </bottom>
      <diagonal/>
    </border>
    <border>
      <left style="medium">
        <color auto="1"/>
      </left>
      <right style="thin">
        <color auto="1"/>
      </right>
      <top style="medium">
        <color auto="1"/>
      </top>
      <bottom/>
      <diagonal/>
    </border>
    <border>
      <left style="thin">
        <color indexed="64"/>
      </left>
      <right style="thin">
        <color indexed="64"/>
      </right>
      <top style="medium">
        <color auto="1"/>
      </top>
      <bottom/>
      <diagonal/>
    </border>
    <border>
      <left style="thin">
        <color indexed="8"/>
      </left>
      <right style="thin">
        <color indexed="8"/>
      </right>
      <top/>
      <bottom style="medium">
        <color indexed="64"/>
      </bottom>
      <diagonal/>
    </border>
    <border>
      <left style="medium">
        <color indexed="8"/>
      </left>
      <right style="medium">
        <color indexed="8"/>
      </right>
      <top/>
      <bottom style="medium">
        <color indexed="8"/>
      </bottom>
      <diagonal/>
    </border>
    <border>
      <left style="hair">
        <color indexed="8"/>
      </left>
      <right/>
      <top/>
      <bottom style="medium">
        <color indexed="8"/>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style="thin">
        <color indexed="8"/>
      </left>
      <right style="medium">
        <color indexed="8"/>
      </right>
      <top style="medium">
        <color auto="1"/>
      </top>
      <bottom/>
      <diagonal/>
    </border>
    <border>
      <left style="medium">
        <color indexed="8"/>
      </left>
      <right/>
      <top style="medium">
        <color auto="1"/>
      </top>
      <bottom/>
      <diagonal/>
    </border>
    <border>
      <left style="medium">
        <color indexed="8"/>
      </left>
      <right style="medium">
        <color indexed="8"/>
      </right>
      <top style="medium">
        <color auto="1"/>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auto="1"/>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bottom style="medium">
        <color indexed="64"/>
      </bottom>
      <diagonal/>
    </border>
    <border>
      <left style="medium">
        <color indexed="64"/>
      </left>
      <right style="thin">
        <color indexed="64"/>
      </right>
      <top style="medium">
        <color auto="1"/>
      </top>
      <bottom style="thin">
        <color auto="1"/>
      </bottom>
      <diagonal/>
    </border>
    <border>
      <left style="thin">
        <color auto="1"/>
      </left>
      <right style="medium">
        <color indexed="64"/>
      </right>
      <top style="medium">
        <color indexed="64"/>
      </top>
      <bottom style="thin">
        <color indexed="8"/>
      </bottom>
      <diagonal/>
    </border>
    <border>
      <left/>
      <right style="thin">
        <color auto="1"/>
      </right>
      <top style="medium">
        <color indexed="64"/>
      </top>
      <bottom style="thin">
        <color indexed="8"/>
      </bottom>
      <diagonal/>
    </border>
    <border>
      <left style="thin">
        <color auto="1"/>
      </left>
      <right style="medium">
        <color indexed="64"/>
      </right>
      <top style="thin">
        <color indexed="8"/>
      </top>
      <bottom style="thin">
        <color indexed="8"/>
      </bottom>
      <diagonal/>
    </border>
    <border>
      <left/>
      <right style="thin">
        <color auto="1"/>
      </right>
      <top style="thin">
        <color indexed="8"/>
      </top>
      <bottom style="thin">
        <color indexed="8"/>
      </bottom>
      <diagonal/>
    </border>
    <border>
      <left style="thin">
        <color auto="1"/>
      </left>
      <right style="medium">
        <color indexed="64"/>
      </right>
      <top style="thin">
        <color indexed="8"/>
      </top>
      <bottom style="medium">
        <color indexed="64"/>
      </bottom>
      <diagonal/>
    </border>
    <border>
      <left/>
      <right style="thin">
        <color auto="1"/>
      </right>
      <top style="thin">
        <color indexed="8"/>
      </top>
      <bottom style="medium">
        <color indexed="64"/>
      </bottom>
      <diagonal/>
    </border>
    <border>
      <left style="thin">
        <color auto="1"/>
      </left>
      <right style="thin">
        <color auto="1"/>
      </right>
      <top/>
      <bottom style="thin">
        <color indexed="8"/>
      </bottom>
      <diagonal/>
    </border>
    <border>
      <left style="thin">
        <color auto="1"/>
      </left>
      <right style="thin">
        <color auto="1"/>
      </right>
      <top style="thin">
        <color indexed="8"/>
      </top>
      <bottom style="thin">
        <color indexed="8"/>
      </bottom>
      <diagonal/>
    </border>
    <border>
      <left style="thin">
        <color auto="1"/>
      </left>
      <right style="thin">
        <color auto="1"/>
      </right>
      <top style="thin">
        <color indexed="8"/>
      </top>
      <bottom style="thin">
        <color indexed="8"/>
      </bottom>
      <diagonal/>
    </border>
    <border>
      <left style="thin">
        <color auto="1"/>
      </left>
      <right style="thin">
        <color auto="1"/>
      </right>
      <top style="thin">
        <color indexed="8"/>
      </top>
      <bottom style="thin">
        <color auto="1"/>
      </bottom>
      <diagonal/>
    </border>
    <border>
      <left style="thin">
        <color auto="1"/>
      </left>
      <right style="thin">
        <color auto="1"/>
      </right>
      <top style="thin">
        <color indexed="8"/>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top style="medium">
        <color auto="1"/>
      </top>
      <bottom style="medium">
        <color auto="1"/>
      </bottom>
      <diagonal/>
    </border>
    <border>
      <left style="medium">
        <color indexed="64"/>
      </left>
      <right style="medium">
        <color indexed="64"/>
      </right>
      <top style="medium">
        <color indexed="64"/>
      </top>
      <bottom/>
      <diagonal/>
    </border>
    <border>
      <left/>
      <right style="thin">
        <color indexed="8"/>
      </right>
      <top style="medium">
        <color auto="1"/>
      </top>
      <bottom style="thin">
        <color indexed="8"/>
      </bottom>
      <diagonal/>
    </border>
    <border>
      <left style="thin">
        <color indexed="8"/>
      </left>
      <right style="thin">
        <color indexed="8"/>
      </right>
      <top style="medium">
        <color auto="1"/>
      </top>
      <bottom style="thin">
        <color indexed="8"/>
      </bottom>
      <diagonal/>
    </border>
    <border>
      <left style="thin">
        <color indexed="8"/>
      </left>
      <right style="medium">
        <color auto="1"/>
      </right>
      <top style="medium">
        <color auto="1"/>
      </top>
      <bottom style="thin">
        <color indexed="8"/>
      </bottom>
      <diagonal/>
    </border>
    <border>
      <left style="thin">
        <color indexed="8"/>
      </left>
      <right style="thin">
        <color indexed="8"/>
      </right>
      <top style="thin">
        <color indexed="8"/>
      </top>
      <bottom/>
      <diagonal/>
    </border>
    <border>
      <left style="medium">
        <color auto="1"/>
      </left>
      <right/>
      <top/>
      <bottom style="thin">
        <color auto="1"/>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style="medium">
        <color auto="1"/>
      </right>
      <top/>
      <bottom style="thin">
        <color indexed="8"/>
      </bottom>
      <diagonal/>
    </border>
    <border>
      <left style="hair">
        <color indexed="8"/>
      </left>
      <right style="hair">
        <color indexed="8"/>
      </right>
      <top style="thin">
        <color indexed="8"/>
      </top>
      <bottom style="hair">
        <color indexed="8"/>
      </bottom>
      <diagonal/>
    </border>
    <border>
      <left style="hair">
        <color indexed="8"/>
      </left>
      <right style="medium">
        <color auto="1"/>
      </right>
      <top style="thin">
        <color indexed="8"/>
      </top>
      <bottom style="hair">
        <color indexed="8"/>
      </bottom>
      <diagonal/>
    </border>
    <border>
      <left/>
      <right style="medium">
        <color indexed="8"/>
      </right>
      <top style="medium">
        <color auto="1"/>
      </top>
      <bottom/>
      <diagonal/>
    </border>
    <border>
      <left style="medium">
        <color auto="1"/>
      </left>
      <right/>
      <top/>
      <bottom style="medium">
        <color auto="1"/>
      </bottom>
      <diagonal/>
    </border>
    <border>
      <left style="medium">
        <color auto="1"/>
      </left>
      <right style="medium">
        <color indexed="8"/>
      </right>
      <top style="medium">
        <color indexed="8"/>
      </top>
      <bottom style="medium">
        <color indexed="8"/>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style="medium">
        <color indexed="8"/>
      </top>
      <bottom/>
      <diagonal/>
    </border>
    <border>
      <left style="medium">
        <color auto="1"/>
      </left>
      <right style="medium">
        <color indexed="8"/>
      </right>
      <top style="medium">
        <color indexed="8"/>
      </top>
      <bottom/>
      <diagonal/>
    </border>
    <border>
      <left style="medium">
        <color auto="1"/>
      </left>
      <right/>
      <top/>
      <bottom style="medium">
        <color auto="1"/>
      </bottom>
      <diagonal/>
    </border>
    <border>
      <left style="medium">
        <color auto="1"/>
      </left>
      <right style="medium">
        <color indexed="8"/>
      </right>
      <top style="medium">
        <color indexed="8"/>
      </top>
      <bottom style="medium">
        <color auto="1"/>
      </bottom>
      <diagonal/>
    </border>
    <border>
      <left style="medium">
        <color indexed="8"/>
      </left>
      <right style="medium">
        <color indexed="8"/>
      </right>
      <top style="medium">
        <color indexed="8"/>
      </top>
      <bottom style="medium">
        <color auto="1"/>
      </bottom>
      <diagonal/>
    </border>
    <border>
      <left/>
      <right/>
      <top/>
      <bottom style="medium">
        <color indexed="8"/>
      </bottom>
      <diagonal/>
    </border>
    <border>
      <left/>
      <right/>
      <top style="medium">
        <color indexed="8"/>
      </top>
      <bottom style="medium">
        <color indexed="8"/>
      </bottom>
      <diagonal/>
    </border>
    <border>
      <left style="medium">
        <color auto="1"/>
      </left>
      <right/>
      <top style="medium">
        <color indexed="8"/>
      </top>
      <bottom style="medium">
        <color indexed="8"/>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auto="1"/>
      </left>
      <right style="thin">
        <color auto="1"/>
      </right>
      <top/>
      <bottom style="thin">
        <color auto="1"/>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medium">
        <color indexed="64"/>
      </right>
      <top style="thin">
        <color auto="1"/>
      </top>
      <bottom/>
      <diagonal/>
    </border>
    <border>
      <left style="thin">
        <color auto="1"/>
      </left>
      <right style="medium">
        <color auto="1"/>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auto="1"/>
      </left>
      <right style="hair">
        <color auto="1"/>
      </right>
      <top style="thin">
        <color auto="1"/>
      </top>
      <bottom style="hair">
        <color auto="1"/>
      </bottom>
      <diagonal/>
    </border>
    <border>
      <left/>
      <right style="hair">
        <color auto="1"/>
      </right>
      <top style="thin">
        <color auto="1"/>
      </top>
      <bottom style="hair">
        <color auto="1"/>
      </bottom>
      <diagonal/>
    </border>
    <border>
      <left/>
      <right style="thin">
        <color auto="1"/>
      </right>
      <top style="thin">
        <color auto="1"/>
      </top>
      <bottom style="hair">
        <color auto="1"/>
      </bottom>
      <diagonal/>
    </border>
    <border>
      <left style="thin">
        <color auto="1"/>
      </left>
      <right style="hair">
        <color auto="1"/>
      </right>
      <top/>
      <bottom style="thin">
        <color auto="1"/>
      </bottom>
      <diagonal/>
    </border>
    <border>
      <left/>
      <right style="hair">
        <color auto="1"/>
      </right>
      <top/>
      <bottom style="thin">
        <color auto="1"/>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style="thin">
        <color indexed="8"/>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medium">
        <color indexed="17"/>
      </left>
      <right style="medium">
        <color indexed="8"/>
      </right>
      <top style="medium">
        <color indexed="17"/>
      </top>
      <bottom style="medium">
        <color indexed="17"/>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auto="1"/>
      </top>
      <bottom style="thin">
        <color auto="1"/>
      </bottom>
      <diagonal/>
    </border>
    <border>
      <left/>
      <right/>
      <top style="thin">
        <color indexed="64"/>
      </top>
      <bottom style="thin">
        <color indexed="64"/>
      </bottom>
      <diagonal/>
    </border>
    <border>
      <left/>
      <right style="thin">
        <color indexed="8"/>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top/>
      <bottom style="thin">
        <color indexed="8"/>
      </bottom>
      <diagonal/>
    </border>
    <border>
      <left/>
      <right style="thin">
        <color indexed="8"/>
      </right>
      <top/>
      <bottom style="thin">
        <color indexed="8"/>
      </bottom>
      <diagonal/>
    </border>
    <border>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8"/>
      </right>
      <top/>
      <bottom style="thin">
        <color indexed="8"/>
      </bottom>
      <diagonal/>
    </border>
    <border>
      <left/>
      <right style="thin">
        <color indexed="8"/>
      </right>
      <top style="thin">
        <color indexed="8"/>
      </top>
      <bottom style="thin">
        <color indexed="8"/>
      </bottom>
      <diagonal/>
    </border>
    <border>
      <left style="thin">
        <color indexed="8"/>
      </left>
      <right style="medium">
        <color indexed="8"/>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top style="thin">
        <color indexed="8"/>
      </top>
      <bottom style="medium">
        <color indexed="8"/>
      </bottom>
      <diagonal/>
    </border>
    <border>
      <left/>
      <right/>
      <top style="thin">
        <color indexed="8"/>
      </top>
      <bottom style="medium">
        <color indexed="8"/>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auto="1"/>
      </bottom>
      <diagonal/>
    </border>
    <border>
      <left/>
      <right/>
      <top style="thin">
        <color indexed="8"/>
      </top>
      <bottom style="thin">
        <color auto="1"/>
      </bottom>
      <diagonal/>
    </border>
    <border>
      <left/>
      <right style="thin">
        <color indexed="8"/>
      </right>
      <top style="thin">
        <color indexed="8"/>
      </top>
      <bottom style="thin">
        <color auto="1"/>
      </bottom>
      <diagonal/>
    </border>
    <border>
      <left/>
      <right style="thin">
        <color indexed="8"/>
      </right>
      <top style="thin">
        <color auto="1"/>
      </top>
      <bottom/>
      <diagonal/>
    </border>
    <border>
      <left style="thin">
        <color indexed="8"/>
      </left>
      <right style="thin">
        <color auto="1"/>
      </right>
      <top style="thin">
        <color auto="1"/>
      </top>
      <bottom style="thin">
        <color indexed="8"/>
      </bottom>
      <diagonal/>
    </border>
    <border>
      <left style="thin">
        <color auto="1"/>
      </left>
      <right/>
      <top/>
      <bottom style="thin">
        <color auto="1"/>
      </bottom>
      <diagonal/>
    </border>
    <border>
      <left style="thin">
        <color indexed="8"/>
      </left>
      <right style="thin">
        <color auto="1"/>
      </right>
      <top style="thin">
        <color indexed="8"/>
      </top>
      <bottom style="thin">
        <color auto="1"/>
      </bottom>
      <diagonal/>
    </border>
    <border>
      <left/>
      <right style="thin">
        <color indexed="8"/>
      </right>
      <top style="thin">
        <color auto="1"/>
      </top>
      <bottom style="thin">
        <color auto="1"/>
      </bottom>
      <diagonal/>
    </border>
    <border>
      <left/>
      <right/>
      <top style="thin">
        <color auto="1"/>
      </top>
      <bottom style="thin">
        <color auto="1"/>
      </bottom>
      <diagonal/>
    </border>
    <border>
      <left style="thin">
        <color indexed="8"/>
      </left>
      <right style="thin">
        <color auto="1"/>
      </right>
      <top style="thin">
        <color auto="1"/>
      </top>
      <bottom style="thin">
        <color auto="1"/>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medium">
        <color indexed="8"/>
      </left>
      <right/>
      <top/>
      <bottom style="medium">
        <color indexed="8"/>
      </bottom>
      <diagonal/>
    </border>
    <border>
      <left style="thin">
        <color indexed="8"/>
      </left>
      <right style="medium">
        <color indexed="8"/>
      </right>
      <top style="thin">
        <color indexed="8"/>
      </top>
      <bottom style="thin">
        <color indexed="8"/>
      </bottom>
      <diagonal/>
    </border>
    <border>
      <left style="thin">
        <color indexed="8"/>
      </left>
      <right style="thin">
        <color indexed="8"/>
      </right>
      <top style="thin">
        <color indexed="8"/>
      </top>
      <bottom/>
      <diagonal/>
    </border>
    <border>
      <left style="thin">
        <color auto="1"/>
      </left>
      <right style="thin">
        <color auto="1"/>
      </right>
      <top style="thin">
        <color auto="1"/>
      </top>
      <bottom style="thin">
        <color auto="1"/>
      </bottom>
      <diagonal/>
    </border>
    <border>
      <left style="thin">
        <color indexed="8"/>
      </left>
      <right style="medium">
        <color indexed="8"/>
      </right>
      <top style="thin">
        <color indexed="8"/>
      </top>
      <bottom style="thin">
        <color auto="1"/>
      </bottom>
      <diagonal/>
    </border>
    <border>
      <left style="thin">
        <color auto="1"/>
      </left>
      <right/>
      <top style="thin">
        <color indexed="8"/>
      </top>
      <bottom style="thin">
        <color indexed="8"/>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right/>
      <top/>
      <bottom style="medium">
        <color auto="1"/>
      </bottom>
      <diagonal/>
    </border>
    <border>
      <left/>
      <right/>
      <top style="medium">
        <color auto="1"/>
      </top>
      <bottom style="medium">
        <color auto="1"/>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8"/>
      </left>
      <right style="thin">
        <color indexed="8"/>
      </right>
      <top/>
      <bottom/>
      <diagonal/>
    </border>
    <border>
      <left style="thin">
        <color indexed="8"/>
      </left>
      <right/>
      <top/>
      <bottom/>
      <diagonal/>
    </border>
    <border>
      <left style="medium">
        <color indexed="64"/>
      </left>
      <right/>
      <top/>
      <bottom style="thin">
        <color indexed="8"/>
      </bottom>
      <diagonal/>
    </border>
    <border>
      <left style="thin">
        <color auto="1"/>
      </left>
      <right style="thin">
        <color indexed="8"/>
      </right>
      <top style="thin">
        <color auto="1"/>
      </top>
      <bottom style="thin">
        <color indexed="8"/>
      </bottom>
      <diagonal/>
    </border>
    <border>
      <left style="thin">
        <color indexed="8"/>
      </left>
      <right style="thin">
        <color indexed="8"/>
      </right>
      <top style="thin">
        <color auto="1"/>
      </top>
      <bottom/>
      <diagonal/>
    </border>
    <border>
      <left style="thin">
        <color indexed="8"/>
      </left>
      <right style="thin">
        <color indexed="8"/>
      </right>
      <top style="thin">
        <color auto="1"/>
      </top>
      <bottom style="thin">
        <color indexed="8"/>
      </bottom>
      <diagonal/>
    </border>
    <border>
      <left style="thin">
        <color indexed="8"/>
      </left>
      <right/>
      <top style="thin">
        <color auto="1"/>
      </top>
      <bottom style="thin">
        <color indexed="8"/>
      </bottom>
      <diagonal/>
    </border>
    <border>
      <left style="medium">
        <color auto="1"/>
      </left>
      <right/>
      <top/>
      <bottom style="medium">
        <color auto="1"/>
      </bottom>
      <diagonal/>
    </border>
    <border>
      <left/>
      <right style="thin">
        <color indexed="8"/>
      </right>
      <top/>
      <bottom style="medium">
        <color auto="1"/>
      </bottom>
      <diagonal/>
    </border>
    <border>
      <left style="thin">
        <color indexed="8"/>
      </left>
      <right style="thin">
        <color indexed="8"/>
      </right>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top style="thin">
        <color indexed="8"/>
      </top>
      <bottom style="medium">
        <color indexed="64"/>
      </bottom>
      <diagonal/>
    </border>
    <border>
      <left/>
      <right style="medium">
        <color auto="1"/>
      </right>
      <top/>
      <bottom style="medium">
        <color auto="1"/>
      </bottom>
      <diagonal/>
    </border>
    <border>
      <left style="thin">
        <color auto="1"/>
      </left>
      <right style="thin">
        <color indexed="8"/>
      </right>
      <top style="thin">
        <color auto="1"/>
      </top>
      <bottom/>
      <diagonal/>
    </border>
    <border>
      <left style="medium">
        <color auto="1"/>
      </left>
      <right/>
      <top style="medium">
        <color indexed="64"/>
      </top>
      <bottom style="medium">
        <color auto="1"/>
      </bottom>
      <diagonal/>
    </border>
    <border>
      <left style="thin">
        <color indexed="8"/>
      </left>
      <right style="thin">
        <color indexed="8"/>
      </right>
      <top style="medium">
        <color indexed="64"/>
      </top>
      <bottom style="medium">
        <color indexed="64"/>
      </bottom>
      <diagonal/>
    </border>
    <border>
      <left style="thin">
        <color indexed="8"/>
      </left>
      <right/>
      <top style="medium">
        <color indexed="64"/>
      </top>
      <bottom style="medium">
        <color indexed="64"/>
      </bottom>
      <diagonal/>
    </border>
    <border>
      <left style="medium">
        <color auto="1"/>
      </left>
      <right style="medium">
        <color indexed="8"/>
      </right>
      <top style="medium">
        <color indexed="8"/>
      </top>
      <bottom/>
      <diagonal/>
    </border>
    <border>
      <left/>
      <right style="medium">
        <color indexed="8"/>
      </right>
      <top/>
      <bottom style="medium">
        <color indexed="64"/>
      </bottom>
      <diagonal/>
    </border>
    <border>
      <left style="medium">
        <color indexed="8"/>
      </left>
      <right style="medium">
        <color indexed="8"/>
      </right>
      <top style="medium">
        <color indexed="8"/>
      </top>
      <bottom style="medium">
        <color auto="1"/>
      </bottom>
      <diagonal/>
    </border>
    <border>
      <left style="medium">
        <color indexed="8"/>
      </left>
      <right/>
      <top style="medium">
        <color indexed="8"/>
      </top>
      <bottom style="medium">
        <color auto="1"/>
      </bottom>
      <diagonal/>
    </border>
    <border>
      <left style="medium">
        <color auto="1"/>
      </left>
      <right style="medium">
        <color indexed="8"/>
      </right>
      <top style="medium">
        <color indexed="8"/>
      </top>
      <bottom style="medium">
        <color auto="1"/>
      </bottom>
      <diagonal/>
    </border>
    <border>
      <left/>
      <right/>
      <top style="medium">
        <color indexed="64"/>
      </top>
      <bottom style="medium">
        <color auto="1"/>
      </bottom>
      <diagonal/>
    </border>
    <border>
      <left style="medium">
        <color auto="1"/>
      </left>
      <right style="thin">
        <color indexed="8"/>
      </right>
      <top/>
      <bottom style="thin">
        <color indexed="8"/>
      </bottom>
      <diagonal/>
    </border>
    <border>
      <left style="thin">
        <color indexed="8"/>
      </left>
      <right/>
      <top style="thin">
        <color indexed="8"/>
      </top>
      <bottom style="thin">
        <color indexed="8"/>
      </bottom>
      <diagonal/>
    </border>
    <border>
      <left style="medium">
        <color auto="1"/>
      </left>
      <right style="thin">
        <color indexed="8"/>
      </right>
      <top style="thin">
        <color indexed="8"/>
      </top>
      <bottom style="medium">
        <color auto="1"/>
      </bottom>
      <diagonal/>
    </border>
    <border>
      <left style="thin">
        <color indexed="8"/>
      </left>
      <right style="thin">
        <color indexed="8"/>
      </right>
      <top style="thin">
        <color indexed="8"/>
      </top>
      <bottom style="medium">
        <color indexed="64"/>
      </bottom>
      <diagonal/>
    </border>
    <border>
      <left style="thin">
        <color indexed="8"/>
      </left>
      <right/>
      <top style="thin">
        <color indexed="8"/>
      </top>
      <bottom style="medium">
        <color indexed="64"/>
      </bottom>
      <diagonal/>
    </border>
    <border>
      <left style="medium">
        <color auto="1"/>
      </left>
      <right style="thin">
        <color indexed="8"/>
      </right>
      <top style="medium">
        <color indexed="8"/>
      </top>
      <bottom/>
      <diagonal/>
    </border>
    <border>
      <left style="thin">
        <color indexed="8"/>
      </left>
      <right style="thin">
        <color indexed="8"/>
      </right>
      <top style="medium">
        <color indexed="8"/>
      </top>
      <bottom style="thin">
        <color indexed="8"/>
      </bottom>
      <diagonal/>
    </border>
    <border>
      <left style="thin">
        <color indexed="8"/>
      </left>
      <right/>
      <top style="medium">
        <color indexed="8"/>
      </top>
      <bottom style="thin">
        <color indexed="8"/>
      </bottom>
      <diagonal/>
    </border>
    <border>
      <left style="thin">
        <color auto="1"/>
      </left>
      <right style="thin">
        <color indexed="8"/>
      </right>
      <top style="medium">
        <color indexed="64"/>
      </top>
      <bottom style="medium">
        <color indexed="64"/>
      </bottom>
      <diagonal/>
    </border>
    <border>
      <left style="thin">
        <color indexed="8"/>
      </left>
      <right style="medium">
        <color auto="1"/>
      </right>
      <top style="medium">
        <color indexed="64"/>
      </top>
      <bottom style="medium">
        <color indexed="64"/>
      </bottom>
      <diagonal/>
    </border>
    <border>
      <left/>
      <right style="medium">
        <color indexed="8"/>
      </right>
      <top style="medium">
        <color indexed="8"/>
      </top>
      <bottom style="medium">
        <color indexed="8"/>
      </bottom>
      <diagonal/>
    </border>
    <border>
      <left style="thin">
        <color indexed="8"/>
      </left>
      <right style="thin">
        <color indexed="8"/>
      </right>
      <top style="medium">
        <color auto="1"/>
      </top>
      <bottom/>
      <diagonal/>
    </border>
    <border>
      <left style="thin">
        <color indexed="8"/>
      </left>
      <right/>
      <top style="medium">
        <color auto="1"/>
      </top>
      <bottom/>
      <diagonal/>
    </border>
    <border>
      <left style="thin">
        <color auto="1"/>
      </left>
      <right style="thin">
        <color indexed="8"/>
      </right>
      <top style="medium">
        <color auto="1"/>
      </top>
      <bottom/>
      <diagonal/>
    </border>
    <border>
      <left style="thin">
        <color indexed="8"/>
      </left>
      <right style="medium">
        <color auto="1"/>
      </right>
      <top style="medium">
        <color auto="1"/>
      </top>
      <bottom/>
      <diagonal/>
    </border>
    <border>
      <left style="medium">
        <color auto="1"/>
      </left>
      <right style="medium">
        <color indexed="8"/>
      </right>
      <top style="medium">
        <color indexed="8"/>
      </top>
      <bottom style="medium">
        <color indexed="8"/>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8"/>
      </right>
      <top style="medium">
        <color indexed="64"/>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auto="1"/>
      </right>
      <top style="thin">
        <color auto="1"/>
      </top>
      <bottom/>
      <diagonal/>
    </border>
    <border>
      <left style="thin">
        <color auto="1"/>
      </left>
      <right style="thin">
        <color auto="1"/>
      </right>
      <top style="thin">
        <color auto="1"/>
      </top>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medium">
        <color indexed="64"/>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auto="1"/>
      </right>
      <top/>
      <bottom/>
      <diagonal/>
    </border>
    <border>
      <left style="thin">
        <color auto="1"/>
      </left>
      <right style="thin">
        <color auto="1"/>
      </right>
      <top style="medium">
        <color auto="1"/>
      </top>
      <bottom style="medium">
        <color auto="1"/>
      </bottom>
      <diagonal/>
    </border>
    <border>
      <left style="medium">
        <color auto="1"/>
      </left>
      <right/>
      <top/>
      <bottom style="thin">
        <color auto="1"/>
      </bottom>
      <diagonal/>
    </border>
    <border>
      <left/>
      <right style="hair">
        <color indexed="8"/>
      </right>
      <top/>
      <bottom style="thin">
        <color indexed="8"/>
      </bottom>
      <diagonal/>
    </border>
    <border>
      <left style="hair">
        <color indexed="8"/>
      </left>
      <right style="hair">
        <color indexed="8"/>
      </right>
      <top/>
      <bottom style="thin">
        <color indexed="8"/>
      </bottom>
      <diagonal/>
    </border>
    <border>
      <left style="medium">
        <color auto="1"/>
      </left>
      <right/>
      <top style="medium">
        <color indexed="8"/>
      </top>
      <bottom/>
      <diagonal/>
    </border>
    <border>
      <left style="hair">
        <color indexed="8"/>
      </left>
      <right style="hair">
        <color indexed="8"/>
      </right>
      <top style="thin">
        <color indexed="8"/>
      </top>
      <bottom/>
      <diagonal/>
    </border>
    <border>
      <left style="medium">
        <color auto="1"/>
      </left>
      <right/>
      <top style="medium">
        <color indexed="8"/>
      </top>
      <bottom style="medium">
        <color auto="1"/>
      </bottom>
      <diagonal/>
    </border>
    <border>
      <left style="medium">
        <color indexed="64"/>
      </left>
      <right/>
      <top style="thin">
        <color auto="1"/>
      </top>
      <bottom style="medium">
        <color indexed="64"/>
      </bottom>
      <diagonal/>
    </border>
    <border>
      <left/>
      <right style="thin">
        <color auto="1"/>
      </right>
      <top style="thin">
        <color auto="1"/>
      </top>
      <bottom style="medium">
        <color indexed="64"/>
      </bottom>
      <diagonal/>
    </border>
    <border>
      <left style="medium">
        <color indexed="64"/>
      </left>
      <right style="thin">
        <color indexed="64"/>
      </right>
      <top style="medium">
        <color indexed="64"/>
      </top>
      <bottom/>
      <diagonal/>
    </border>
    <border>
      <left style="thin">
        <color auto="1"/>
      </left>
      <right style="thin">
        <color auto="1"/>
      </right>
      <top style="medium">
        <color indexed="64"/>
      </top>
      <bottom style="thin">
        <color auto="1"/>
      </bottom>
      <diagonal/>
    </border>
    <border>
      <left style="medium">
        <color auto="1"/>
      </left>
      <right style="thin">
        <color auto="1"/>
      </right>
      <top/>
      <bottom/>
      <diagonal/>
    </border>
    <border>
      <left style="thin">
        <color indexed="64"/>
      </left>
      <right style="thin">
        <color indexed="64"/>
      </right>
      <top style="thin">
        <color indexed="64"/>
      </top>
      <bottom style="medium">
        <color indexed="64"/>
      </bottom>
      <diagonal/>
    </border>
    <border>
      <left/>
      <right/>
      <top style="thin">
        <color indexed="8"/>
      </top>
      <bottom style="medium">
        <color theme="0"/>
      </bottom>
      <diagonal/>
    </border>
    <border>
      <left style="medium">
        <color auto="1"/>
      </left>
      <right style="thin">
        <color auto="1"/>
      </right>
      <top style="medium">
        <color auto="1"/>
      </top>
      <bottom style="thin">
        <color auto="1"/>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thin">
        <color indexed="64"/>
      </left>
      <right/>
      <top style="medium">
        <color indexed="64"/>
      </top>
      <bottom style="thin">
        <color indexed="64"/>
      </bottom>
      <diagonal/>
    </border>
    <border>
      <left/>
      <right style="medium">
        <color auto="1"/>
      </right>
      <top/>
      <bottom style="thin">
        <color auto="1"/>
      </bottom>
      <diagonal/>
    </border>
    <border>
      <left style="medium">
        <color auto="1"/>
      </left>
      <right style="thin">
        <color auto="1"/>
      </right>
      <top/>
      <bottom style="thin">
        <color auto="1"/>
      </bottom>
      <diagonal/>
    </border>
    <border>
      <left style="thin">
        <color indexed="64"/>
      </left>
      <right style="medium">
        <color indexed="64"/>
      </right>
      <top/>
      <bottom style="thin">
        <color indexed="64"/>
      </bottom>
      <diagonal/>
    </border>
    <border>
      <left style="thin">
        <color auto="1"/>
      </left>
      <right style="medium">
        <color auto="1"/>
      </right>
      <top style="thin">
        <color auto="1"/>
      </top>
      <bottom/>
      <diagonal/>
    </border>
    <border>
      <left/>
      <right style="thin">
        <color indexed="64"/>
      </right>
      <top/>
      <bottom style="thin">
        <color indexed="64"/>
      </bottom>
      <diagonal/>
    </border>
    <border>
      <left style="thin">
        <color auto="1"/>
      </left>
      <right style="medium">
        <color auto="1"/>
      </right>
      <top style="thin">
        <color auto="1"/>
      </top>
      <bottom style="thin">
        <color auto="1"/>
      </bottom>
      <diagonal/>
    </border>
    <border>
      <left style="thin">
        <color auto="1"/>
      </left>
      <right style="medium">
        <color auto="1"/>
      </right>
      <top/>
      <bottom/>
      <diagonal/>
    </border>
    <border>
      <left style="thin">
        <color indexed="64"/>
      </left>
      <right/>
      <top/>
      <bottom/>
      <diagonal/>
    </border>
    <border>
      <left style="thin">
        <color auto="1"/>
      </left>
      <right style="medium">
        <color auto="1"/>
      </right>
      <top style="thin">
        <color auto="1"/>
      </top>
      <bottom style="medium">
        <color auto="1"/>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auto="1"/>
      </left>
      <right/>
      <top style="thin">
        <color auto="1"/>
      </top>
      <bottom style="medium">
        <color auto="1"/>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medium">
        <color indexed="64"/>
      </left>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right style="medium">
        <color indexed="64"/>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indexed="8"/>
      </left>
      <right/>
      <top style="medium">
        <color indexed="8"/>
      </top>
      <bottom style="thin">
        <color indexed="8"/>
      </bottom>
      <diagonal/>
    </border>
    <border>
      <left/>
      <right style="hair">
        <color indexed="8"/>
      </right>
      <top style="medium">
        <color indexed="8"/>
      </top>
      <bottom style="thin">
        <color indexed="8"/>
      </bottom>
      <diagonal/>
    </border>
    <border>
      <left style="hair">
        <color indexed="8"/>
      </left>
      <right style="thin">
        <color auto="1"/>
      </right>
      <top style="medium">
        <color indexed="8"/>
      </top>
      <bottom style="thin">
        <color indexed="8"/>
      </bottom>
      <diagonal/>
    </border>
    <border>
      <left style="hair">
        <color indexed="8"/>
      </left>
      <right style="hair">
        <color indexed="8"/>
      </right>
      <top style="medium">
        <color indexed="8"/>
      </top>
      <bottom style="thin">
        <color indexed="8"/>
      </bottom>
      <diagonal/>
    </border>
    <border>
      <left style="medium">
        <color indexed="8"/>
      </left>
      <right style="hair">
        <color indexed="8"/>
      </right>
      <top style="thin">
        <color indexed="8"/>
      </top>
      <bottom style="medium">
        <color indexed="8"/>
      </bottom>
      <diagonal/>
    </border>
    <border>
      <left style="hair">
        <color indexed="8"/>
      </left>
      <right style="thin">
        <color auto="1"/>
      </right>
      <top style="thin">
        <color indexed="8"/>
      </top>
      <bottom style="medium">
        <color indexed="8"/>
      </bottom>
      <diagonal/>
    </border>
    <border>
      <left/>
      <right style="hair">
        <color indexed="8"/>
      </right>
      <top style="thin">
        <color indexed="8"/>
      </top>
      <bottom style="medium">
        <color indexed="8"/>
      </bottom>
      <diagonal/>
    </border>
    <border>
      <left style="hair">
        <color indexed="8"/>
      </left>
      <right style="hair">
        <color indexed="8"/>
      </right>
      <top style="thin">
        <color indexed="8"/>
      </top>
      <bottom style="medium">
        <color indexed="8"/>
      </bottom>
      <diagonal/>
    </border>
    <border>
      <left style="medium">
        <color indexed="64"/>
      </left>
      <right/>
      <top style="thin">
        <color auto="1"/>
      </top>
      <bottom style="medium">
        <color indexed="64"/>
      </bottom>
      <diagonal/>
    </border>
    <border>
      <left/>
      <right style="thin">
        <color auto="1"/>
      </right>
      <top style="thin">
        <color auto="1"/>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8"/>
      </top>
      <bottom style="medium">
        <color theme="0"/>
      </bottom>
      <diagonal/>
    </border>
    <border>
      <left style="thin">
        <color indexed="64"/>
      </left>
      <right style="thin">
        <color indexed="64"/>
      </right>
      <top style="thin">
        <color indexed="64"/>
      </top>
      <bottom style="thin">
        <color indexed="64"/>
      </bottom>
      <diagonal/>
    </border>
    <border>
      <left style="thin">
        <color auto="1"/>
      </left>
      <right style="thin">
        <color auto="1"/>
      </right>
      <top style="medium">
        <color indexed="64"/>
      </top>
      <bottom style="medium">
        <color auto="1"/>
      </bottom>
      <diagonal/>
    </border>
    <border>
      <left style="thin">
        <color indexed="64"/>
      </left>
      <right style="hair">
        <color indexed="64"/>
      </right>
      <top style="medium">
        <color indexed="64"/>
      </top>
      <bottom style="medium">
        <color indexed="64"/>
      </bottom>
      <diagonal/>
    </border>
    <border>
      <left style="medium">
        <color indexed="64"/>
      </left>
      <right style="thin">
        <color indexed="8"/>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hair">
        <color indexed="8"/>
      </right>
      <top style="thin">
        <color indexed="8"/>
      </top>
      <bottom/>
      <diagonal/>
    </border>
    <border>
      <left/>
      <right/>
      <top style="thin">
        <color indexed="8"/>
      </top>
      <bottom/>
      <diagonal/>
    </border>
    <border>
      <left style="hair">
        <color indexed="8"/>
      </left>
      <right/>
      <top style="thin">
        <color indexed="8"/>
      </top>
      <bottom/>
      <diagonal/>
    </border>
    <border>
      <left style="thin">
        <color indexed="8"/>
      </left>
      <right style="thin">
        <color indexed="8"/>
      </right>
      <top/>
      <bottom style="thin">
        <color indexed="8"/>
      </bottom>
      <diagonal/>
    </border>
    <border>
      <left style="thin">
        <color auto="1"/>
      </left>
      <right/>
      <top/>
      <bottom style="thin">
        <color indexed="8"/>
      </bottom>
      <diagonal/>
    </border>
    <border>
      <left style="medium">
        <color indexed="64"/>
      </left>
      <right style="hair">
        <color indexed="8"/>
      </right>
      <top style="thin">
        <color indexed="8"/>
      </top>
      <bottom style="thin">
        <color indexed="8"/>
      </bottom>
      <diagonal/>
    </border>
    <border>
      <left/>
      <right/>
      <top style="thin">
        <color indexed="8"/>
      </top>
      <bottom style="thin">
        <color indexed="8"/>
      </bottom>
      <diagonal/>
    </border>
    <border>
      <left style="hair">
        <color indexed="8"/>
      </left>
      <right/>
      <top style="thin">
        <color indexed="8"/>
      </top>
      <bottom style="thin">
        <color indexed="8"/>
      </bottom>
      <diagonal/>
    </border>
    <border>
      <left style="thin">
        <color indexed="8"/>
      </left>
      <right/>
      <top style="thin">
        <color indexed="8"/>
      </top>
      <bottom style="thin">
        <color auto="1"/>
      </bottom>
      <diagonal/>
    </border>
    <border>
      <left style="thin">
        <color auto="1"/>
      </left>
      <right/>
      <top style="thin">
        <color indexed="8"/>
      </top>
      <bottom/>
      <diagonal/>
    </border>
    <border>
      <left style="hair">
        <color indexed="8"/>
      </left>
      <right style="hair">
        <color indexed="8"/>
      </right>
      <top style="thin">
        <color indexed="8"/>
      </top>
      <bottom style="hair">
        <color indexed="8"/>
      </bottom>
      <diagonal/>
    </border>
    <border>
      <left style="hair">
        <color indexed="8"/>
      </left>
      <right style="thin">
        <color indexed="8"/>
      </right>
      <top style="thin">
        <color indexed="8"/>
      </top>
      <bottom style="hair">
        <color indexed="8"/>
      </bottom>
      <diagonal/>
    </border>
    <border>
      <left style="medium">
        <color indexed="64"/>
      </left>
      <right style="medium">
        <color indexed="64"/>
      </right>
      <top style="thin">
        <color indexed="64"/>
      </top>
      <bottom style="thin">
        <color indexed="64"/>
      </bottom>
      <diagonal/>
    </border>
    <border>
      <left style="thin">
        <color indexed="8"/>
      </left>
      <right/>
      <top/>
      <bottom style="thin">
        <color indexed="8"/>
      </bottom>
      <diagonal/>
    </border>
    <border>
      <left style="medium">
        <color indexed="64"/>
      </left>
      <right/>
      <top style="thin">
        <color indexed="8"/>
      </top>
      <bottom style="thin">
        <color indexed="8"/>
      </bottom>
      <diagonal/>
    </border>
    <border>
      <left style="medium">
        <color indexed="64"/>
      </left>
      <right style="medium">
        <color indexed="64"/>
      </right>
      <top style="medium">
        <color indexed="64"/>
      </top>
      <bottom/>
      <diagonal/>
    </border>
    <border>
      <left style="hair">
        <color indexed="8"/>
      </left>
      <right/>
      <top style="thin">
        <color indexed="8"/>
      </top>
      <bottom style="hair">
        <color indexed="8"/>
      </bottom>
      <diagonal/>
    </border>
    <border>
      <left style="medium">
        <color indexed="64"/>
      </left>
      <right style="hair">
        <color indexed="8"/>
      </right>
      <top style="thin">
        <color indexed="8"/>
      </top>
      <bottom style="hair">
        <color indexed="8"/>
      </bottom>
      <diagonal/>
    </border>
    <border>
      <left/>
      <right/>
      <top style="thin">
        <color indexed="8"/>
      </top>
      <bottom style="hair">
        <color indexed="8"/>
      </bottom>
      <diagonal/>
    </border>
    <border>
      <left style="thin">
        <color indexed="8"/>
      </left>
      <right/>
      <top style="thin">
        <color indexed="8"/>
      </top>
      <bottom style="thin">
        <color indexed="8"/>
      </bottom>
      <diagonal/>
    </border>
    <border>
      <left style="thin">
        <color auto="1"/>
      </left>
      <right/>
      <top style="thin">
        <color indexed="8"/>
      </top>
      <bottom style="thin">
        <color indexed="8"/>
      </bottom>
      <diagonal/>
    </border>
    <border>
      <left style="medium">
        <color indexed="64"/>
      </left>
      <right style="hair">
        <color indexed="8"/>
      </right>
      <top style="medium">
        <color auto="1"/>
      </top>
      <bottom style="thin">
        <color auto="1"/>
      </bottom>
      <diagonal/>
    </border>
    <border>
      <left style="hair">
        <color indexed="8"/>
      </left>
      <right/>
      <top style="medium">
        <color auto="1"/>
      </top>
      <bottom style="thin">
        <color auto="1"/>
      </bottom>
      <diagonal/>
    </border>
    <border>
      <left style="hair">
        <color indexed="8"/>
      </left>
      <right style="hair">
        <color indexed="8"/>
      </right>
      <top style="medium">
        <color auto="1"/>
      </top>
      <bottom style="thin">
        <color auto="1"/>
      </bottom>
      <diagonal/>
    </border>
    <border>
      <left style="medium">
        <color indexed="64"/>
      </left>
      <right/>
      <top style="thin">
        <color indexed="8"/>
      </top>
      <bottom style="medium">
        <color auto="1"/>
      </bottom>
      <diagonal/>
    </border>
    <border>
      <left/>
      <right/>
      <top style="thin">
        <color indexed="8"/>
      </top>
      <bottom style="medium">
        <color auto="1"/>
      </bottom>
      <diagonal/>
    </border>
    <border>
      <left style="thin">
        <color indexed="8"/>
      </left>
      <right/>
      <top style="thin">
        <color indexed="8"/>
      </top>
      <bottom style="medium">
        <color auto="1"/>
      </bottom>
      <diagonal/>
    </border>
    <border>
      <left style="thin">
        <color indexed="8"/>
      </left>
      <right/>
      <top style="thin">
        <color indexed="8"/>
      </top>
      <bottom/>
      <diagonal/>
    </border>
    <border>
      <left style="medium">
        <color indexed="64"/>
      </left>
      <right style="thin">
        <color indexed="8"/>
      </right>
      <top style="medium">
        <color indexed="8"/>
      </top>
      <bottom style="thin">
        <color indexed="8"/>
      </bottom>
      <diagonal/>
    </border>
    <border>
      <left/>
      <right/>
      <top style="medium">
        <color indexed="8"/>
      </top>
      <bottom style="thin">
        <color indexed="8"/>
      </bottom>
      <diagonal/>
    </border>
    <border>
      <left style="thin">
        <color indexed="8"/>
      </left>
      <right/>
      <top style="medium">
        <color indexed="8"/>
      </top>
      <bottom style="thin">
        <color indexed="8"/>
      </bottom>
      <diagonal/>
    </border>
    <border>
      <left style="thin">
        <color indexed="8"/>
      </left>
      <right/>
      <top style="medium">
        <color indexed="8"/>
      </top>
      <bottom style="thin">
        <color auto="1"/>
      </bottom>
      <diagonal/>
    </border>
    <border>
      <left style="thin">
        <color auto="1"/>
      </left>
      <right/>
      <top style="medium">
        <color indexed="8"/>
      </top>
      <bottom/>
      <diagonal/>
    </border>
    <border>
      <left style="hair">
        <color indexed="8"/>
      </left>
      <right style="thin">
        <color indexed="8"/>
      </right>
      <top style="thin">
        <color indexed="8"/>
      </top>
      <bottom style="thin">
        <color indexed="8"/>
      </bottom>
      <diagonal/>
    </border>
    <border>
      <left/>
      <right style="thin">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hair">
        <color indexed="8"/>
      </right>
      <top style="medium">
        <color indexed="8"/>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auto="1"/>
      </left>
      <right/>
      <top style="medium">
        <color indexed="64"/>
      </top>
      <bottom style="medium">
        <color auto="1"/>
      </bottom>
      <diagonal/>
    </border>
    <border>
      <left style="thin">
        <color indexed="8"/>
      </left>
      <right/>
      <top style="medium">
        <color indexed="64"/>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medium">
        <color auto="1"/>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auto="1"/>
      </left>
      <right style="thin">
        <color auto="1"/>
      </right>
      <top/>
      <bottom style="thin">
        <color auto="1"/>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auto="1"/>
      </top>
      <bottom style="medium">
        <color indexed="64"/>
      </bottom>
      <diagonal/>
    </border>
    <border>
      <left style="thin">
        <color auto="1"/>
      </left>
      <right/>
      <top style="thin">
        <color auto="1"/>
      </top>
      <bottom style="medium">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auto="1"/>
      </left>
      <right style="medium">
        <color auto="1"/>
      </right>
      <top style="thin">
        <color auto="1"/>
      </top>
      <bottom style="medium">
        <color auto="1"/>
      </bottom>
      <diagonal/>
    </border>
    <border>
      <left/>
      <right/>
      <top style="medium">
        <color indexed="64"/>
      </top>
      <bottom style="medium">
        <color auto="1"/>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8"/>
      </bottom>
      <diagonal/>
    </border>
    <border>
      <left/>
      <right/>
      <top/>
      <bottom style="thin">
        <color indexed="8"/>
      </bottom>
      <diagonal/>
    </border>
    <border>
      <left style="medium">
        <color auto="1"/>
      </left>
      <right/>
      <top/>
      <bottom style="thin">
        <color indexed="8"/>
      </bottom>
      <diagonal/>
    </border>
    <border>
      <left/>
      <right style="medium">
        <color indexed="64"/>
      </right>
      <top/>
      <bottom style="thin">
        <color indexed="8"/>
      </bottom>
      <diagonal/>
    </border>
    <border>
      <left style="medium">
        <color auto="1"/>
      </left>
      <right/>
      <top/>
      <bottom style="thin">
        <color auto="1"/>
      </bottom>
      <diagonal/>
    </border>
    <border>
      <left/>
      <right style="medium">
        <color indexed="64"/>
      </right>
      <top style="thin">
        <color indexed="8"/>
      </top>
      <bottom style="thin">
        <color indexed="8"/>
      </bottom>
      <diagonal/>
    </border>
    <border>
      <left style="medium">
        <color indexed="64"/>
      </left>
      <right/>
      <top style="thin">
        <color indexed="8"/>
      </top>
      <bottom/>
      <diagonal/>
    </border>
    <border>
      <left/>
      <right style="medium">
        <color indexed="64"/>
      </right>
      <top style="thin">
        <color indexed="8"/>
      </top>
      <bottom/>
      <diagonal/>
    </border>
    <border>
      <left/>
      <right style="medium">
        <color auto="1"/>
      </right>
      <top style="thin">
        <color indexed="64"/>
      </top>
      <bottom/>
      <diagonal/>
    </border>
    <border>
      <left style="medium">
        <color indexed="64"/>
      </left>
      <right/>
      <top style="thin">
        <color auto="1"/>
      </top>
      <bottom style="thin">
        <color auto="1"/>
      </bottom>
      <diagonal/>
    </border>
    <border>
      <left style="thin">
        <color auto="1"/>
      </left>
      <right/>
      <top style="thin">
        <color auto="1"/>
      </top>
      <bottom style="thin">
        <color indexed="8"/>
      </bottom>
      <diagonal/>
    </border>
    <border>
      <left/>
      <right/>
      <top style="thin">
        <color auto="1"/>
      </top>
      <bottom style="thin">
        <color indexed="8"/>
      </bottom>
      <diagonal/>
    </border>
    <border>
      <left style="thin">
        <color indexed="8"/>
      </left>
      <right style="medium">
        <color auto="1"/>
      </right>
      <top/>
      <bottom/>
      <diagonal/>
    </border>
    <border>
      <left/>
      <right style="thin">
        <color indexed="64"/>
      </right>
      <top style="thin">
        <color indexed="64"/>
      </top>
      <bottom style="thin">
        <color indexed="64"/>
      </bottom>
      <diagonal/>
    </border>
    <border>
      <left/>
      <right style="medium">
        <color indexed="64"/>
      </right>
      <top style="thin">
        <color auto="1"/>
      </top>
      <bottom style="thin">
        <color auto="1"/>
      </bottom>
      <diagonal/>
    </border>
    <border>
      <left style="thin">
        <color auto="1"/>
      </left>
      <right style="thin">
        <color auto="1"/>
      </right>
      <top style="thin">
        <color auto="1"/>
      </top>
      <bottom style="thin">
        <color auto="1"/>
      </bottom>
      <diagonal/>
    </border>
    <border>
      <left/>
      <right style="thin">
        <color indexed="64"/>
      </right>
      <top style="medium">
        <color indexed="64"/>
      </top>
      <bottom style="medium">
        <color indexed="64"/>
      </bottom>
      <diagonal/>
    </border>
    <border>
      <left style="thin">
        <color indexed="8"/>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medium">
        <color indexed="64"/>
      </top>
      <bottom style="medium">
        <color auto="1"/>
      </bottom>
      <diagonal/>
    </border>
    <border>
      <left/>
      <right/>
      <top style="thin">
        <color auto="1"/>
      </top>
      <bottom style="medium">
        <color indexed="64"/>
      </bottom>
      <diagonal/>
    </border>
    <border>
      <left style="medium">
        <color auto="1"/>
      </left>
      <right/>
      <top style="medium">
        <color auto="1"/>
      </top>
      <bottom style="thin">
        <color auto="1"/>
      </bottom>
      <diagonal/>
    </border>
    <border>
      <left/>
      <right style="thin">
        <color indexed="8"/>
      </right>
      <top/>
      <bottom style="thin">
        <color indexed="8"/>
      </bottom>
      <diagonal/>
    </border>
    <border>
      <left style="thin">
        <color indexed="8"/>
      </left>
      <right/>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top style="thin">
        <color indexed="8"/>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medium">
        <color indexed="64"/>
      </top>
      <bottom style="thin">
        <color indexed="8"/>
      </bottom>
      <diagonal/>
    </border>
    <border>
      <left/>
      <right style="thin">
        <color indexed="8"/>
      </right>
      <top style="medium">
        <color indexed="64"/>
      </top>
      <bottom style="thin">
        <color indexed="8"/>
      </bottom>
      <diagonal/>
    </border>
    <border>
      <left style="thin">
        <color indexed="8"/>
      </left>
      <right/>
      <top style="medium">
        <color indexed="64"/>
      </top>
      <bottom style="thin">
        <color indexed="17"/>
      </bottom>
      <diagonal/>
    </border>
    <border>
      <left/>
      <right style="thin">
        <color indexed="17"/>
      </right>
      <top style="thin">
        <color indexed="8"/>
      </top>
      <bottom style="thin">
        <color indexed="8"/>
      </bottom>
      <diagonal/>
    </border>
    <border>
      <left style="thin">
        <color indexed="17"/>
      </left>
      <right/>
      <top style="thin">
        <color indexed="17"/>
      </top>
      <bottom style="thin">
        <color indexed="17"/>
      </bottom>
      <diagonal/>
    </border>
    <border>
      <left/>
      <right style="thin">
        <color theme="1"/>
      </right>
      <top style="medium">
        <color indexed="64"/>
      </top>
      <bottom style="thin">
        <color auto="1"/>
      </bottom>
      <diagonal/>
    </border>
    <border>
      <left style="thin">
        <color theme="1"/>
      </left>
      <right/>
      <top style="medium">
        <color indexed="64"/>
      </top>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theme="1"/>
      </left>
      <right/>
      <top style="medium">
        <color indexed="64"/>
      </top>
      <bottom style="thin">
        <color theme="1"/>
      </bottom>
      <diagonal/>
    </border>
    <border>
      <left/>
      <right style="thin">
        <color indexed="64"/>
      </right>
      <top style="thin">
        <color indexed="64"/>
      </top>
      <bottom style="thin">
        <color indexed="64"/>
      </bottom>
      <diagonal/>
    </border>
    <border>
      <left/>
      <right style="thin">
        <color indexed="8"/>
      </right>
      <top style="thin">
        <color auto="1"/>
      </top>
      <bottom style="thin">
        <color indexed="8"/>
      </bottom>
      <diagonal/>
    </border>
    <border>
      <left/>
      <right style="thin">
        <color indexed="8"/>
      </right>
      <top style="thin">
        <color indexed="8"/>
      </top>
      <bottom style="thin">
        <color indexed="8"/>
      </bottom>
      <diagonal/>
    </border>
    <border>
      <left/>
      <right style="thin">
        <color indexed="8"/>
      </right>
      <top style="medium">
        <color auto="1"/>
      </top>
      <bottom style="thin">
        <color auto="1"/>
      </bottom>
      <diagonal/>
    </border>
    <border>
      <left/>
      <right/>
      <top style="thin">
        <color indexed="8"/>
      </top>
      <bottom/>
      <diagonal/>
    </border>
    <border>
      <left/>
      <right/>
      <top style="thin">
        <color indexed="8"/>
      </top>
      <bottom style="thin">
        <color auto="1"/>
      </bottom>
      <diagonal/>
    </border>
    <border>
      <left/>
      <right style="thin">
        <color indexed="8"/>
      </right>
      <top style="thin">
        <color indexed="8"/>
      </top>
      <bottom style="thin">
        <color auto="1"/>
      </bottom>
      <diagonal/>
    </border>
    <border>
      <left/>
      <right/>
      <top style="thin">
        <color indexed="8"/>
      </top>
      <bottom style="thin">
        <color indexed="8"/>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auto="1"/>
      </right>
      <top style="thin">
        <color auto="1"/>
      </top>
      <bottom style="thin">
        <color auto="1"/>
      </bottom>
      <diagonal/>
    </border>
    <border>
      <left style="thin">
        <color indexed="8"/>
      </left>
      <right style="thin">
        <color indexed="8"/>
      </right>
      <top/>
      <bottom style="thin">
        <color indexed="8"/>
      </bottom>
      <diagonal/>
    </border>
    <border>
      <left style="medium">
        <color indexed="64"/>
      </left>
      <right style="thin">
        <color auto="1"/>
      </right>
      <top style="thin">
        <color auto="1"/>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medium">
        <color auto="1"/>
      </top>
      <bottom style="thin">
        <color indexed="8"/>
      </bottom>
      <diagonal/>
    </border>
    <border>
      <left/>
      <right style="thin">
        <color indexed="8"/>
      </right>
      <top style="thin">
        <color indexed="8"/>
      </top>
      <bottom style="thin">
        <color indexed="8"/>
      </bottom>
      <diagonal/>
    </border>
    <border>
      <left/>
      <right style="thin">
        <color indexed="8"/>
      </right>
      <top style="thin">
        <color indexed="8"/>
      </top>
      <bottom/>
      <diagonal/>
    </border>
    <border>
      <left/>
      <right style="thin">
        <color auto="1"/>
      </right>
      <top style="thin">
        <color auto="1"/>
      </top>
      <bottom style="medium">
        <color indexed="64"/>
      </bottom>
      <diagonal/>
    </border>
    <border>
      <left style="thin">
        <color indexed="8"/>
      </left>
      <right style="thin">
        <color indexed="8"/>
      </right>
      <top style="medium">
        <color indexed="64"/>
      </top>
      <bottom style="thin">
        <color indexed="16"/>
      </bottom>
      <diagonal/>
    </border>
    <border>
      <left/>
      <right style="thin">
        <color indexed="16"/>
      </right>
      <top style="thin">
        <color indexed="16"/>
      </top>
      <bottom/>
      <diagonal/>
    </border>
    <border>
      <left style="thin">
        <color indexed="16"/>
      </left>
      <right/>
      <top/>
      <bottom/>
      <diagonal/>
    </border>
    <border>
      <left/>
      <right style="thin">
        <color indexed="8"/>
      </right>
      <top/>
      <bottom style="medium">
        <color auto="1"/>
      </bottom>
      <diagonal/>
    </border>
    <border>
      <left style="medium">
        <color auto="1"/>
      </left>
      <right/>
      <top style="medium">
        <color auto="1"/>
      </top>
      <bottom style="thin">
        <color theme="1"/>
      </bottom>
      <diagonal/>
    </border>
    <border>
      <left/>
      <right style="medium">
        <color auto="1"/>
      </right>
      <top style="medium">
        <color auto="1"/>
      </top>
      <bottom style="thin">
        <color theme="1"/>
      </bottom>
      <diagonal/>
    </border>
    <border>
      <left style="medium">
        <color indexed="64"/>
      </left>
      <right/>
      <top style="thin">
        <color indexed="8"/>
      </top>
      <bottom/>
      <diagonal/>
    </border>
    <border>
      <left/>
      <right/>
      <top style="thin">
        <color indexed="8"/>
      </top>
      <bottom/>
      <diagonal/>
    </border>
    <border>
      <left style="thin">
        <color indexed="8"/>
      </left>
      <right/>
      <top style="thin">
        <color indexed="8"/>
      </top>
      <bottom/>
      <diagonal/>
    </border>
    <border>
      <left style="thin">
        <color auto="1"/>
      </left>
      <right style="medium">
        <color indexed="64"/>
      </right>
      <top style="thin">
        <color auto="1"/>
      </top>
      <bottom style="thin">
        <color auto="1"/>
      </bottom>
      <diagonal/>
    </border>
    <border>
      <left style="medium">
        <color indexed="64"/>
      </left>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auto="1"/>
      </left>
      <right style="thin">
        <color auto="1"/>
      </right>
      <top style="thin">
        <color auto="1"/>
      </top>
      <bottom style="thin">
        <color auto="1"/>
      </bottom>
      <diagonal/>
    </border>
    <border>
      <left style="hair">
        <color indexed="8"/>
      </left>
      <right style="hair">
        <color indexed="8"/>
      </right>
      <top style="thin">
        <color indexed="8"/>
      </top>
      <bottom style="hair">
        <color indexed="8"/>
      </bottom>
      <diagonal/>
    </border>
    <border>
      <left style="hair">
        <color indexed="8"/>
      </left>
      <right/>
      <top style="thin">
        <color indexed="8"/>
      </top>
      <bottom style="hair">
        <color indexed="8"/>
      </bottom>
      <diagonal/>
    </border>
    <border>
      <left style="medium">
        <color indexed="64"/>
      </left>
      <right/>
      <top style="medium">
        <color indexed="8"/>
      </top>
      <bottom style="medium">
        <color indexed="64"/>
      </bottom>
      <diagonal/>
    </border>
    <border>
      <left/>
      <right/>
      <top style="medium">
        <color indexed="8"/>
      </top>
      <bottom style="medium">
        <color indexed="64"/>
      </bottom>
      <diagonal/>
    </border>
    <border>
      <left style="thin">
        <color indexed="8"/>
      </left>
      <right/>
      <top style="medium">
        <color indexed="8"/>
      </top>
      <bottom style="medium">
        <color indexed="64"/>
      </bottom>
      <diagonal/>
    </border>
    <border>
      <left style="thin">
        <color indexed="8"/>
      </left>
      <right style="medium">
        <color auto="1"/>
      </right>
      <top style="medium">
        <color indexed="8"/>
      </top>
      <bottom style="medium">
        <color indexed="64"/>
      </bottom>
      <diagonal/>
    </border>
    <border>
      <left style="medium">
        <color indexed="64"/>
      </left>
      <right/>
      <top style="medium">
        <color indexed="64"/>
      </top>
      <bottom style="thin">
        <color indexed="8"/>
      </bottom>
      <diagonal/>
    </border>
    <border>
      <left style="thin">
        <color indexed="8"/>
      </left>
      <right/>
      <top style="medium">
        <color auto="1"/>
      </top>
      <bottom style="thin">
        <color indexed="8"/>
      </bottom>
      <diagonal/>
    </border>
    <border>
      <left style="medium">
        <color indexed="64"/>
      </left>
      <right style="medium">
        <color indexed="64"/>
      </right>
      <top style="medium">
        <color indexed="64"/>
      </top>
      <bottom style="thin">
        <color auto="1"/>
      </bottom>
      <diagonal/>
    </border>
    <border>
      <left style="thin">
        <color indexed="8"/>
      </left>
      <right style="medium">
        <color auto="1"/>
      </right>
      <top style="thin">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auto="1"/>
      </top>
      <bottom style="thin">
        <color auto="1"/>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style="thin">
        <color indexed="8"/>
      </left>
      <right/>
      <top style="thin">
        <color indexed="8"/>
      </top>
      <bottom style="medium">
        <color indexed="64"/>
      </bottom>
      <diagonal/>
    </border>
    <border>
      <left style="thin">
        <color indexed="8"/>
      </left>
      <right style="medium">
        <color auto="1"/>
      </right>
      <top style="thin">
        <color indexed="8"/>
      </top>
      <bottom style="thin">
        <color indexed="8"/>
      </bottom>
      <diagonal/>
    </border>
    <border>
      <left style="thin">
        <color indexed="8"/>
      </left>
      <right style="medium">
        <color indexed="64"/>
      </right>
      <top style="thin">
        <color indexed="8"/>
      </top>
      <bottom style="medium">
        <color indexed="64"/>
      </bottom>
      <diagonal/>
    </border>
    <border>
      <left style="medium">
        <color indexed="64"/>
      </left>
      <right style="medium">
        <color indexed="64"/>
      </right>
      <top/>
      <bottom style="thin">
        <color indexed="8"/>
      </bottom>
      <diagonal/>
    </border>
    <border>
      <left style="medium">
        <color indexed="64"/>
      </left>
      <right style="hair">
        <color indexed="8"/>
      </right>
      <top style="medium">
        <color indexed="64"/>
      </top>
      <bottom/>
      <diagonal/>
    </border>
    <border>
      <left style="hair">
        <color indexed="8"/>
      </left>
      <right/>
      <top style="medium">
        <color auto="1"/>
      </top>
      <bottom/>
      <diagonal/>
    </border>
    <border>
      <left style="hair">
        <color indexed="8"/>
      </left>
      <right style="hair">
        <color indexed="8"/>
      </right>
      <top style="medium">
        <color indexed="64"/>
      </top>
      <bottom/>
      <diagonal/>
    </border>
    <border>
      <left style="medium">
        <color indexed="64"/>
      </left>
      <right style="hair">
        <color auto="1"/>
      </right>
      <top style="medium">
        <color auto="1"/>
      </top>
      <bottom style="hair">
        <color auto="1"/>
      </bottom>
      <diagonal/>
    </border>
    <border>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top style="medium">
        <color auto="1"/>
      </top>
      <bottom style="hair">
        <color auto="1"/>
      </bottom>
      <diagonal/>
    </border>
    <border>
      <left style="hair">
        <color indexed="8"/>
      </left>
      <right style="hair">
        <color indexed="8"/>
      </right>
      <top style="medium">
        <color auto="1"/>
      </top>
      <bottom style="medium">
        <color auto="1"/>
      </bottom>
      <diagonal/>
    </border>
    <border>
      <left style="thin">
        <color indexed="8"/>
      </left>
      <right style="medium">
        <color auto="1"/>
      </right>
      <top style="medium">
        <color indexed="8"/>
      </top>
      <bottom style="medium">
        <color indexed="64"/>
      </bottom>
      <diagonal/>
    </border>
    <border>
      <left style="medium">
        <color auto="1"/>
      </left>
      <right style="thin">
        <color theme="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auto="1"/>
      </bottom>
      <diagonal/>
    </border>
    <border>
      <left style="thin">
        <color indexed="8"/>
      </left>
      <right/>
      <top style="thin">
        <color indexed="8"/>
      </top>
      <bottom style="medium">
        <color indexed="8"/>
      </bottom>
      <diagonal/>
    </border>
    <border>
      <left/>
      <right/>
      <top style="thin">
        <color indexed="8"/>
      </top>
      <bottom style="medium">
        <color indexed="8"/>
      </bottom>
      <diagonal/>
    </border>
    <border>
      <left/>
      <right style="medium">
        <color indexed="8"/>
      </right>
      <top style="thin">
        <color indexed="8"/>
      </top>
      <bottom style="medium">
        <color indexed="8"/>
      </bottom>
      <diagonal/>
    </border>
    <border>
      <left style="medium">
        <color indexed="8"/>
      </left>
      <right style="medium">
        <color indexed="8"/>
      </right>
      <top style="medium">
        <color indexed="8"/>
      </top>
      <bottom style="medium">
        <color indexed="8"/>
      </bottom>
      <diagonal/>
    </border>
    <border>
      <left/>
      <right/>
      <top style="medium">
        <color indexed="8"/>
      </top>
      <bottom/>
      <diagonal/>
    </border>
    <border>
      <left style="medium">
        <color indexed="64"/>
      </left>
      <right/>
      <top style="medium">
        <color indexed="64"/>
      </top>
      <bottom style="thin">
        <color indexed="8"/>
      </bottom>
      <diagonal/>
    </border>
    <border>
      <left/>
      <right style="thin">
        <color indexed="8"/>
      </right>
      <top style="thin">
        <color indexed="8"/>
      </top>
      <bottom style="medium">
        <color indexed="64"/>
      </bottom>
      <diagonal/>
    </border>
    <border>
      <left/>
      <right style="thin">
        <color indexed="8"/>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medium">
        <color indexed="8"/>
      </left>
      <right style="medium">
        <color indexed="8"/>
      </right>
      <top style="medium">
        <color indexed="8"/>
      </top>
      <bottom style="medium">
        <color indexed="64"/>
      </bottom>
      <diagonal/>
    </border>
    <border>
      <left style="medium">
        <color indexed="8"/>
      </left>
      <right style="medium">
        <color indexed="64"/>
      </right>
      <top style="medium">
        <color indexed="8"/>
      </top>
      <bottom style="medium">
        <color indexed="64"/>
      </bottom>
      <diagonal/>
    </border>
    <border>
      <left style="medium">
        <color auto="1"/>
      </left>
      <right/>
      <top style="medium">
        <color auto="1"/>
      </top>
      <bottom style="thin">
        <color theme="1"/>
      </bottom>
      <diagonal/>
    </border>
    <border>
      <left/>
      <right style="medium">
        <color auto="1"/>
      </right>
      <top style="medium">
        <color auto="1"/>
      </top>
      <bottom style="thin">
        <color theme="1"/>
      </bottom>
      <diagonal/>
    </border>
    <border>
      <left style="medium">
        <color indexed="64"/>
      </left>
      <right/>
      <top style="medium">
        <color indexed="64"/>
      </top>
      <bottom style="thin">
        <color indexed="8"/>
      </bottom>
      <diagonal/>
    </border>
    <border>
      <left/>
      <right style="thin">
        <color indexed="8"/>
      </right>
      <top style="medium">
        <color indexed="64"/>
      </top>
      <bottom style="thin">
        <color indexed="8"/>
      </bottom>
      <diagonal/>
    </border>
    <border>
      <left/>
      <right/>
      <top style="medium">
        <color indexed="64"/>
      </top>
      <bottom style="thin">
        <color indexed="8"/>
      </bottom>
      <diagonal/>
    </border>
    <border>
      <left style="medium">
        <color indexed="64"/>
      </left>
      <right style="hair">
        <color indexed="8"/>
      </right>
      <top style="thin">
        <color indexed="8"/>
      </top>
      <bottom style="hair">
        <color indexed="8"/>
      </bottom>
      <diagonal/>
    </border>
    <border>
      <left/>
      <right style="hair">
        <color indexed="8"/>
      </right>
      <top style="thin">
        <color indexed="8"/>
      </top>
      <bottom style="hair">
        <color indexed="8"/>
      </bottom>
      <diagonal/>
    </border>
    <border>
      <left style="medium">
        <color indexed="64"/>
      </left>
      <right/>
      <top style="medium">
        <color indexed="8"/>
      </top>
      <bottom style="medium">
        <color indexed="8"/>
      </bottom>
      <diagonal/>
    </border>
    <border>
      <left style="medium">
        <color indexed="8"/>
      </left>
      <right/>
      <top style="medium">
        <color indexed="8"/>
      </top>
      <bottom/>
      <diagonal/>
    </border>
    <border>
      <left style="medium">
        <color indexed="8"/>
      </left>
      <right/>
      <top style="medium">
        <color indexed="8"/>
      </top>
      <bottom style="thin">
        <color indexed="8"/>
      </bottom>
      <diagonal/>
    </border>
    <border>
      <left style="thin">
        <color indexed="8"/>
      </left>
      <right style="thin">
        <color indexed="8"/>
      </right>
      <top style="medium">
        <color indexed="8"/>
      </top>
      <bottom style="medium">
        <color indexed="8"/>
      </bottom>
      <diagonal/>
    </border>
    <border>
      <left style="medium">
        <color indexed="64"/>
      </left>
      <right/>
      <top style="medium">
        <color indexed="8"/>
      </top>
      <bottom style="thin">
        <color indexed="8"/>
      </bottom>
      <diagonal/>
    </border>
    <border>
      <left/>
      <right/>
      <top style="medium">
        <color indexed="8"/>
      </top>
      <bottom style="thin">
        <color indexed="8"/>
      </bottom>
      <diagonal/>
    </border>
    <border>
      <left style="thin">
        <color indexed="8"/>
      </left>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64"/>
      </left>
      <right/>
      <top style="medium">
        <color indexed="8"/>
      </top>
      <bottom style="medium">
        <color indexed="64"/>
      </bottom>
      <diagonal/>
    </border>
    <border>
      <left/>
      <right/>
      <top style="medium">
        <color indexed="8"/>
      </top>
      <bottom style="medium">
        <color indexed="64"/>
      </bottom>
      <diagonal/>
    </border>
    <border>
      <left/>
      <right style="medium">
        <color indexed="8"/>
      </right>
      <top style="medium">
        <color indexed="8"/>
      </top>
      <bottom style="medium">
        <color indexed="64"/>
      </bottom>
      <diagonal/>
    </border>
    <border>
      <left/>
      <right style="medium">
        <color indexed="64"/>
      </right>
      <top style="medium">
        <color indexed="8"/>
      </top>
      <bottom style="medium">
        <color indexed="64"/>
      </bottom>
      <diagonal/>
    </border>
    <border>
      <left style="thin">
        <color indexed="8"/>
      </left>
      <right style="thin">
        <color indexed="8"/>
      </right>
      <top style="medium">
        <color indexed="64"/>
      </top>
      <bottom style="thin">
        <color indexed="8"/>
      </bottom>
      <diagonal/>
    </border>
    <border>
      <left style="medium">
        <color indexed="64"/>
      </left>
      <right style="medium">
        <color indexed="64"/>
      </right>
      <top style="medium">
        <color indexed="64"/>
      </top>
      <bottom style="thin">
        <color auto="1"/>
      </bottom>
      <diagonal/>
    </border>
    <border>
      <left style="thin">
        <color indexed="8"/>
      </left>
      <right style="thin">
        <color indexed="8"/>
      </right>
      <top style="medium">
        <color indexed="8"/>
      </top>
      <bottom style="medium">
        <color indexed="64"/>
      </bottom>
      <diagonal/>
    </border>
    <border>
      <left style="thin">
        <color indexed="8"/>
      </left>
      <right/>
      <top style="medium">
        <color auto="1"/>
      </top>
      <bottom style="thin">
        <color indexed="8"/>
      </bottom>
      <diagonal/>
    </border>
    <border>
      <left style="medium">
        <color indexed="8"/>
      </left>
      <right style="thin">
        <color indexed="8"/>
      </right>
      <top style="medium">
        <color indexed="8"/>
      </top>
      <bottom style="thin">
        <color indexed="8"/>
      </bottom>
      <diagonal/>
    </border>
    <border>
      <left style="hair">
        <color indexed="8"/>
      </left>
      <right style="hair">
        <color indexed="8"/>
      </right>
      <top style="medium">
        <color indexed="8"/>
      </top>
      <bottom style="thin">
        <color indexed="8"/>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hair">
        <color indexed="8"/>
      </left>
      <right style="medium">
        <color indexed="8"/>
      </right>
      <top style="thin">
        <color indexed="8"/>
      </top>
      <bottom style="hair">
        <color indexed="8"/>
      </bottom>
      <diagonal/>
    </border>
    <border>
      <left style="medium">
        <color indexed="8"/>
      </left>
      <right/>
      <top style="thin">
        <color indexed="8"/>
      </top>
      <bottom style="medium">
        <color indexed="8"/>
      </bottom>
      <diagonal/>
    </border>
    <border>
      <left style="hair">
        <color indexed="8"/>
      </left>
      <right/>
      <top style="thin">
        <color indexed="8"/>
      </top>
      <bottom style="medium">
        <color indexed="8"/>
      </bottom>
      <diagonal/>
    </border>
    <border>
      <left style="medium">
        <color indexed="8"/>
      </left>
      <right/>
      <top style="thin">
        <color indexed="8"/>
      </top>
      <bottom/>
      <diagonal/>
    </border>
    <border>
      <left style="hair">
        <color indexed="8"/>
      </left>
      <right/>
      <top style="thin">
        <color indexed="8"/>
      </top>
      <bottom/>
      <diagonal/>
    </border>
    <border>
      <left style="medium">
        <color indexed="8"/>
      </left>
      <right/>
      <top style="medium">
        <color indexed="8"/>
      </top>
      <bottom style="medium">
        <color indexed="8"/>
      </bottom>
      <diagonal/>
    </border>
    <border>
      <left style="medium">
        <color indexed="8"/>
      </left>
      <right style="hair">
        <color theme="0" tint="-4.9989318521683403E-2"/>
      </right>
      <top style="thin">
        <color indexed="8"/>
      </top>
      <bottom style="medium">
        <color theme="0" tint="-4.9989318521683403E-2"/>
      </bottom>
      <diagonal/>
    </border>
    <border>
      <left style="hair">
        <color theme="0" tint="-4.9989318521683403E-2"/>
      </left>
      <right style="hair">
        <color theme="0" tint="-4.9989318521683403E-2"/>
      </right>
      <top style="thin">
        <color indexed="8"/>
      </top>
      <bottom style="medium">
        <color theme="0" tint="-4.9989318521683403E-2"/>
      </bottom>
      <diagonal/>
    </border>
    <border>
      <left style="hair">
        <color theme="0" tint="-4.9989318521683403E-2"/>
      </left>
      <right/>
      <top style="medium">
        <color indexed="8"/>
      </top>
      <bottom style="medium">
        <color theme="0" tint="-4.9989318521683403E-2"/>
      </bottom>
      <diagonal/>
    </border>
    <border>
      <left style="thin">
        <color auto="1"/>
      </left>
      <right style="medium">
        <color auto="1"/>
      </right>
      <top style="thin">
        <color auto="1"/>
      </top>
      <bottom style="medium">
        <color auto="1"/>
      </bottom>
      <diagonal/>
    </border>
    <border>
      <left/>
      <right/>
      <top style="medium">
        <color indexed="8"/>
      </top>
      <bottom/>
      <diagonal/>
    </border>
    <border>
      <left style="thin">
        <color indexed="8"/>
      </left>
      <right/>
      <top style="medium">
        <color indexed="8"/>
      </top>
      <bottom style="thin">
        <color theme="0" tint="-4.9989318521683403E-2"/>
      </bottom>
      <diagonal/>
    </border>
    <border>
      <left/>
      <right/>
      <top style="medium">
        <color indexed="8"/>
      </top>
      <bottom style="thin">
        <color theme="0" tint="-4.9989318521683403E-2"/>
      </bottom>
      <diagonal/>
    </border>
    <border>
      <left/>
      <right style="thin">
        <color indexed="8"/>
      </right>
      <top style="medium">
        <color indexed="8"/>
      </top>
      <bottom style="thin">
        <color theme="0" tint="-4.9989318521683403E-2"/>
      </bottom>
      <diagonal/>
    </border>
    <border>
      <left style="medium">
        <color indexed="8"/>
      </left>
      <right style="medium">
        <color indexed="8"/>
      </right>
      <top style="medium">
        <color indexed="8"/>
      </top>
      <bottom style="thin">
        <color theme="0" tint="-4.9989318521683403E-2"/>
      </bottom>
      <diagonal/>
    </border>
    <border>
      <left/>
      <right style="medium">
        <color indexed="8"/>
      </right>
      <top style="medium">
        <color indexed="8"/>
      </top>
      <bottom style="thin">
        <color theme="0" tint="-4.9989318521683403E-2"/>
      </bottom>
      <diagonal/>
    </border>
    <border>
      <left style="thin">
        <color indexed="8"/>
      </left>
      <right style="medium">
        <color indexed="8"/>
      </right>
      <top/>
      <bottom/>
      <diagonal/>
    </border>
    <border>
      <left/>
      <right style="medium">
        <color indexed="8"/>
      </right>
      <top style="thin">
        <color indexed="8"/>
      </top>
      <bottom style="medium">
        <color rgb="FFFF0000"/>
      </bottom>
      <diagonal/>
    </border>
    <border>
      <left style="medium">
        <color indexed="8"/>
      </left>
      <right style="medium">
        <color indexed="8"/>
      </right>
      <top style="thin">
        <color indexed="8"/>
      </top>
      <bottom style="medium">
        <color rgb="FFFF0000"/>
      </bottom>
      <diagonal/>
    </border>
    <border>
      <left style="medium">
        <color indexed="8"/>
      </left>
      <right style="medium">
        <color auto="1"/>
      </right>
      <top style="thin">
        <color indexed="8"/>
      </top>
      <bottom style="medium">
        <color rgb="FFFF0000"/>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style="thin">
        <color auto="1"/>
      </left>
      <right style="hair">
        <color auto="1"/>
      </right>
      <top/>
      <bottom style="thin">
        <color auto="1"/>
      </bottom>
      <diagonal/>
    </border>
    <border>
      <left style="hair">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hair">
        <color indexed="8"/>
      </right>
      <top style="thin">
        <color indexed="8"/>
      </top>
      <bottom style="hair">
        <color indexed="8"/>
      </bottom>
      <diagonal/>
    </border>
    <border>
      <left style="thin">
        <color indexed="10"/>
      </left>
      <right style="thin">
        <color indexed="10"/>
      </right>
      <top style="thin">
        <color indexed="10"/>
      </top>
      <bottom style="thin">
        <color indexed="10"/>
      </bottom>
      <diagonal/>
    </border>
    <border>
      <left/>
      <right/>
      <top style="medium">
        <color indexed="64"/>
      </top>
      <bottom style="medium">
        <color auto="1"/>
      </bottom>
      <diagonal/>
    </border>
    <border>
      <left style="thin">
        <color indexed="64"/>
      </left>
      <right/>
      <top style="thin">
        <color indexed="64"/>
      </top>
      <bottom style="medium">
        <color indexed="64"/>
      </bottom>
      <diagonal/>
    </border>
    <border>
      <left style="thin">
        <color auto="1"/>
      </left>
      <right/>
      <top style="medium">
        <color indexed="64"/>
      </top>
      <bottom style="thin">
        <color auto="1"/>
      </bottom>
      <diagonal/>
    </border>
    <border>
      <left/>
      <right style="thin">
        <color auto="1"/>
      </right>
      <top style="thin">
        <color auto="1"/>
      </top>
      <bottom/>
      <diagonal/>
    </border>
    <border>
      <left style="medium">
        <color indexed="64"/>
      </left>
      <right style="thin">
        <color auto="1"/>
      </right>
      <top style="medium">
        <color auto="1"/>
      </top>
      <bottom/>
      <diagonal/>
    </border>
    <border>
      <left style="thin">
        <color indexed="64"/>
      </left>
      <right style="medium">
        <color indexed="64"/>
      </right>
      <top style="thin">
        <color indexed="64"/>
      </top>
      <bottom style="medium">
        <color indexed="64"/>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medium">
        <color theme="1"/>
      </left>
      <right style="medium">
        <color theme="1"/>
      </right>
      <top style="medium">
        <color theme="1"/>
      </top>
      <bottom style="medium">
        <color theme="1"/>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indexed="64"/>
      </bottom>
      <diagonal/>
    </border>
    <border>
      <left/>
      <right style="thin">
        <color indexed="64"/>
      </right>
      <top style="thin">
        <color auto="1"/>
      </top>
      <bottom style="thin">
        <color indexed="64"/>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thin">
        <color indexed="64"/>
      </left>
      <right style="medium">
        <color indexed="64"/>
      </right>
      <top style="thin">
        <color indexed="64"/>
      </top>
      <bottom style="thin">
        <color indexed="64"/>
      </bottom>
      <diagonal/>
    </border>
    <border>
      <left style="medium">
        <color auto="1"/>
      </left>
      <right/>
      <top/>
      <bottom/>
      <diagonal/>
    </border>
    <border>
      <left/>
      <right style="medium">
        <color indexed="64"/>
      </right>
      <top style="thin">
        <color auto="1"/>
      </top>
      <bottom/>
      <diagonal/>
    </border>
    <border>
      <left/>
      <right/>
      <top/>
      <bottom style="medium">
        <color theme="1"/>
      </bottom>
      <diagonal/>
    </border>
    <border>
      <left style="thin">
        <color auto="1"/>
      </left>
      <right/>
      <top style="thin">
        <color auto="1"/>
      </top>
      <bottom style="thin">
        <color auto="1"/>
      </bottom>
      <diagonal/>
    </border>
    <border>
      <left style="medium">
        <color theme="1"/>
      </left>
      <right style="thin">
        <color indexed="64"/>
      </right>
      <top style="medium">
        <color theme="1"/>
      </top>
      <bottom style="thin">
        <color indexed="64"/>
      </bottom>
      <diagonal/>
    </border>
    <border>
      <left style="thin">
        <color indexed="64"/>
      </left>
      <right style="medium">
        <color theme="1"/>
      </right>
      <top style="medium">
        <color theme="1"/>
      </top>
      <bottom style="thin">
        <color indexed="64"/>
      </bottom>
      <diagonal/>
    </border>
    <border>
      <left style="medium">
        <color theme="1"/>
      </left>
      <right style="thin">
        <color auto="1"/>
      </right>
      <top style="thin">
        <color auto="1"/>
      </top>
      <bottom style="thin">
        <color auto="1"/>
      </bottom>
      <diagonal/>
    </border>
    <border>
      <left/>
      <right style="medium">
        <color theme="1"/>
      </right>
      <top/>
      <bottom style="thin">
        <color auto="1"/>
      </bottom>
      <diagonal/>
    </border>
    <border>
      <left style="thin">
        <color auto="1"/>
      </left>
      <right style="medium">
        <color theme="1"/>
      </right>
      <top style="thin">
        <color auto="1"/>
      </top>
      <bottom style="thin">
        <color auto="1"/>
      </bottom>
      <diagonal/>
    </border>
    <border>
      <left style="medium">
        <color theme="1"/>
      </left>
      <right style="thin">
        <color indexed="64"/>
      </right>
      <top/>
      <bottom style="thin">
        <color indexed="64"/>
      </bottom>
      <diagonal/>
    </border>
    <border>
      <left style="thin">
        <color indexed="64"/>
      </left>
      <right style="medium">
        <color theme="1"/>
      </right>
      <top/>
      <bottom style="thin">
        <color indexed="64"/>
      </bottom>
      <diagonal/>
    </border>
    <border>
      <left style="medium">
        <color theme="1"/>
      </left>
      <right style="thin">
        <color auto="1"/>
      </right>
      <top/>
      <bottom/>
      <diagonal/>
    </border>
    <border>
      <left style="thin">
        <color auto="1"/>
      </left>
      <right style="medium">
        <color theme="1"/>
      </right>
      <top/>
      <bottom/>
      <diagonal/>
    </border>
    <border>
      <left style="medium">
        <color theme="1"/>
      </left>
      <right style="thin">
        <color auto="1"/>
      </right>
      <top style="thin">
        <color auto="1"/>
      </top>
      <bottom style="medium">
        <color indexed="64"/>
      </bottom>
      <diagonal/>
    </border>
    <border>
      <left style="thin">
        <color auto="1"/>
      </left>
      <right style="medium">
        <color theme="1"/>
      </right>
      <top style="thin">
        <color auto="1"/>
      </top>
      <bottom style="medium">
        <color auto="1"/>
      </bottom>
      <diagonal/>
    </border>
    <border>
      <left style="medium">
        <color theme="1"/>
      </left>
      <right style="thin">
        <color indexed="64"/>
      </right>
      <top style="medium">
        <color auto="1"/>
      </top>
      <bottom/>
      <diagonal/>
    </border>
    <border>
      <left/>
      <right style="medium">
        <color theme="1"/>
      </right>
      <top style="medium">
        <color auto="1"/>
      </top>
      <bottom/>
      <diagonal/>
    </border>
    <border>
      <left style="medium">
        <color theme="1"/>
      </left>
      <right style="thin">
        <color indexed="64"/>
      </right>
      <top style="medium">
        <color indexed="64"/>
      </top>
      <bottom style="thin">
        <color indexed="64"/>
      </bottom>
      <diagonal/>
    </border>
    <border>
      <left style="thin">
        <color indexed="64"/>
      </left>
      <right style="medium">
        <color theme="1"/>
      </right>
      <top style="medium">
        <color indexed="64"/>
      </top>
      <bottom style="thin">
        <color indexed="64"/>
      </bottom>
      <diagonal/>
    </border>
    <border>
      <left/>
      <right style="medium">
        <color theme="1"/>
      </right>
      <top style="thin">
        <color auto="1"/>
      </top>
      <bottom style="thin">
        <color auto="1"/>
      </bottom>
      <diagonal/>
    </border>
    <border>
      <left/>
      <right style="thin">
        <color auto="1"/>
      </right>
      <top style="medium">
        <color auto="1"/>
      </top>
      <bottom style="thin">
        <color auto="1"/>
      </bottom>
      <diagonal/>
    </border>
    <border>
      <left style="thin">
        <color auto="1"/>
      </left>
      <right style="thin">
        <color indexed="64"/>
      </right>
      <top style="medium">
        <color auto="1"/>
      </top>
      <bottom style="thin">
        <color auto="1"/>
      </bottom>
      <diagonal/>
    </border>
    <border>
      <left/>
      <right style="thin">
        <color auto="1"/>
      </right>
      <top style="thin">
        <color indexed="64"/>
      </top>
      <bottom style="medium">
        <color indexed="64"/>
      </bottom>
      <diagonal/>
    </border>
    <border>
      <left style="medium">
        <color theme="1"/>
      </left>
      <right style="thin">
        <color auto="1"/>
      </right>
      <top style="thin">
        <color auto="1"/>
      </top>
      <bottom/>
      <diagonal/>
    </border>
    <border>
      <left style="thin">
        <color auto="1"/>
      </left>
      <right style="medium">
        <color theme="1"/>
      </right>
      <top style="thin">
        <color auto="1"/>
      </top>
      <bottom/>
      <diagonal/>
    </border>
    <border>
      <left style="medium">
        <color indexed="64"/>
      </left>
      <right style="thin">
        <color indexed="64"/>
      </right>
      <top/>
      <bottom/>
      <diagonal/>
    </border>
    <border>
      <left style="medium">
        <color indexed="64"/>
      </left>
      <right style="thin">
        <color indexed="64"/>
      </right>
      <top style="medium">
        <color auto="1"/>
      </top>
      <bottom style="thin">
        <color auto="1"/>
      </bottom>
      <diagonal/>
    </border>
    <border>
      <left style="medium">
        <color indexed="64"/>
      </left>
      <right style="thin">
        <color indexed="64"/>
      </right>
      <top style="thin">
        <color auto="1"/>
      </top>
      <bottom style="medium">
        <color theme="0"/>
      </bottom>
      <diagonal/>
    </border>
    <border>
      <left style="thin">
        <color indexed="64"/>
      </left>
      <right style="thin">
        <color auto="1"/>
      </right>
      <top style="thin">
        <color auto="1"/>
      </top>
      <bottom style="medium">
        <color theme="0"/>
      </bottom>
      <diagonal/>
    </border>
    <border>
      <left style="thin">
        <color indexed="64"/>
      </left>
      <right style="medium">
        <color indexed="64"/>
      </right>
      <top style="medium">
        <color indexed="64"/>
      </top>
      <bottom style="thin">
        <color indexed="64"/>
      </bottom>
      <diagonal/>
    </border>
    <border>
      <left style="hair">
        <color indexed="8"/>
      </left>
      <right style="hair">
        <color indexed="8"/>
      </right>
      <top style="medium">
        <color indexed="8"/>
      </top>
      <bottom style="thin">
        <color indexed="8"/>
      </bottom>
      <diagonal/>
    </border>
    <border>
      <left style="hair">
        <color indexed="8"/>
      </left>
      <right style="hair">
        <color indexed="8"/>
      </right>
      <top style="thin">
        <color indexed="8"/>
      </top>
      <bottom style="medium">
        <color indexed="8"/>
      </bottom>
      <diagonal/>
    </border>
    <border>
      <left style="thin">
        <color auto="1"/>
      </left>
      <right style="thin">
        <color auto="1"/>
      </right>
      <top style="medium">
        <color indexed="64"/>
      </top>
      <bottom style="thin">
        <color auto="1"/>
      </bottom>
      <diagonal/>
    </border>
    <border>
      <left style="medium">
        <color auto="1"/>
      </left>
      <right/>
      <top style="thin">
        <color auto="1"/>
      </top>
      <bottom style="medium">
        <color theme="0"/>
      </bottom>
      <diagonal/>
    </border>
    <border>
      <left style="thin">
        <color auto="1"/>
      </left>
      <right/>
      <top style="thin">
        <color auto="1"/>
      </top>
      <bottom style="medium">
        <color theme="0"/>
      </bottom>
      <diagonal/>
    </border>
    <border>
      <left style="thin">
        <color auto="1"/>
      </left>
      <right style="medium">
        <color auto="1"/>
      </right>
      <top style="thin">
        <color auto="1"/>
      </top>
      <bottom style="medium">
        <color theme="0"/>
      </bottom>
      <diagonal/>
    </border>
    <border>
      <left style="medium">
        <color auto="1"/>
      </left>
      <right style="thin">
        <color auto="1"/>
      </right>
      <top/>
      <bottom style="thin">
        <color auto="1"/>
      </bottom>
      <diagonal/>
    </border>
    <border>
      <left style="medium">
        <color auto="1"/>
      </left>
      <right style="thin">
        <color auto="1"/>
      </right>
      <top style="thin">
        <color indexed="64"/>
      </top>
      <bottom style="medium">
        <color indexed="64"/>
      </bottom>
      <diagonal/>
    </border>
    <border>
      <left/>
      <right style="thin">
        <color auto="1"/>
      </right>
      <top style="medium">
        <color auto="1"/>
      </top>
      <bottom style="medium">
        <color auto="1"/>
      </bottom>
      <diagonal/>
    </border>
    <border>
      <left style="medium">
        <color indexed="64"/>
      </left>
      <right style="thin">
        <color auto="1"/>
      </right>
      <top style="hair">
        <color auto="1"/>
      </top>
      <bottom style="hair">
        <color auto="1"/>
      </bottom>
      <diagonal/>
    </border>
    <border>
      <left style="thin">
        <color auto="1"/>
      </left>
      <right style="medium">
        <color indexed="64"/>
      </right>
      <top style="hair">
        <color auto="1"/>
      </top>
      <bottom style="hair">
        <color auto="1"/>
      </bottom>
      <diagonal/>
    </border>
    <border>
      <left style="medium">
        <color indexed="64"/>
      </left>
      <right style="thin">
        <color auto="1"/>
      </right>
      <top style="hair">
        <color auto="1"/>
      </top>
      <bottom style="thin">
        <color auto="1"/>
      </bottom>
      <diagonal/>
    </border>
    <border>
      <left style="thin">
        <color auto="1"/>
      </left>
      <right style="medium">
        <color indexed="64"/>
      </right>
      <top style="hair">
        <color auto="1"/>
      </top>
      <bottom style="thin">
        <color auto="1"/>
      </bottom>
      <diagonal/>
    </border>
    <border>
      <left style="medium">
        <color indexed="64"/>
      </left>
      <right style="thin">
        <color auto="1"/>
      </right>
      <top style="hair">
        <color auto="1"/>
      </top>
      <bottom/>
      <diagonal/>
    </border>
    <border>
      <left style="thin">
        <color auto="1"/>
      </left>
      <right style="medium">
        <color indexed="64"/>
      </right>
      <top style="hair">
        <color auto="1"/>
      </top>
      <bottom/>
      <diagonal/>
    </border>
    <border>
      <left style="thin">
        <color auto="1"/>
      </left>
      <right style="medium">
        <color indexed="64"/>
      </right>
      <top/>
      <bottom style="hair">
        <color auto="1"/>
      </bottom>
      <diagonal/>
    </border>
    <border>
      <left style="thin">
        <color auto="1"/>
      </left>
      <right style="medium">
        <color indexed="64"/>
      </right>
      <top/>
      <bottom style="thin">
        <color auto="1"/>
      </bottom>
      <diagonal/>
    </border>
    <border>
      <left style="thin">
        <color auto="1"/>
      </left>
      <right style="medium">
        <color indexed="64"/>
      </right>
      <top style="thin">
        <color auto="1"/>
      </top>
      <bottom style="medium">
        <color indexed="64"/>
      </bottom>
      <diagonal/>
    </border>
    <border>
      <left style="thin">
        <color indexed="64"/>
      </left>
      <right/>
      <top style="medium">
        <color indexed="64"/>
      </top>
      <bottom style="medium">
        <color indexed="64"/>
      </bottom>
      <diagonal/>
    </border>
    <border>
      <left style="thin">
        <color auto="1"/>
      </left>
      <right/>
      <top/>
      <bottom style="hair">
        <color auto="1"/>
      </bottom>
      <diagonal/>
    </border>
    <border>
      <left style="medium">
        <color indexed="8"/>
      </left>
      <right/>
      <top/>
      <bottom/>
      <diagonal/>
    </border>
    <border>
      <left style="thin">
        <color auto="1"/>
      </left>
      <right style="thin">
        <color auto="1"/>
      </right>
      <top style="thin">
        <color indexed="8"/>
      </top>
      <bottom/>
      <diagonal/>
    </border>
    <border>
      <left style="thin">
        <color auto="1"/>
      </left>
      <right style="medium">
        <color indexed="64"/>
      </right>
      <top/>
      <bottom style="thin">
        <color indexed="8"/>
      </bottom>
      <diagonal/>
    </border>
    <border>
      <left/>
      <right style="thin">
        <color auto="1"/>
      </right>
      <top/>
      <bottom style="thin">
        <color indexed="8"/>
      </bottom>
      <diagonal/>
    </border>
    <border>
      <left style="thin">
        <color auto="1"/>
      </left>
      <right/>
      <top style="hair">
        <color auto="1"/>
      </top>
      <bottom style="thin">
        <color auto="1"/>
      </bottom>
      <diagonal/>
    </border>
    <border>
      <left style="thin">
        <color auto="1"/>
      </left>
      <right/>
      <top style="hair">
        <color auto="1"/>
      </top>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hair">
        <color indexed="8"/>
      </left>
      <right style="thin">
        <color indexed="8"/>
      </right>
      <top style="thin">
        <color indexed="8"/>
      </top>
      <bottom style="hair">
        <color indexed="8"/>
      </bottom>
      <diagonal/>
    </border>
    <border>
      <left style="thin">
        <color indexed="8"/>
      </left>
      <right/>
      <top/>
      <bottom style="thin">
        <color indexed="8"/>
      </bottom>
      <diagonal/>
    </border>
    <border>
      <left style="thin">
        <color indexed="8"/>
      </left>
      <right/>
      <top style="thin">
        <color indexed="8"/>
      </top>
      <bottom style="thin">
        <color indexed="8"/>
      </bottom>
      <diagonal/>
    </border>
    <border>
      <left style="thin">
        <color indexed="8"/>
      </left>
      <right/>
      <top style="thin">
        <color indexed="8"/>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hair">
        <color indexed="8"/>
      </bottom>
      <diagonal/>
    </border>
    <border>
      <left style="medium">
        <color indexed="64"/>
      </left>
      <right/>
      <top style="medium">
        <color indexed="64"/>
      </top>
      <bottom style="thin">
        <color auto="1"/>
      </bottom>
      <diagonal/>
    </border>
    <border>
      <left style="medium">
        <color auto="1"/>
      </left>
      <right/>
      <top style="thin">
        <color auto="1"/>
      </top>
      <bottom style="medium">
        <color auto="1"/>
      </bottom>
      <diagonal/>
    </border>
    <border>
      <left/>
      <right style="medium">
        <color indexed="8"/>
      </right>
      <top style="thin">
        <color indexed="8"/>
      </top>
      <bottom style="thin">
        <color indexed="8"/>
      </bottom>
      <diagonal/>
    </border>
    <border>
      <left style="thin">
        <color indexed="64"/>
      </left>
      <right style="thin">
        <color indexed="64"/>
      </right>
      <top/>
      <bottom style="medium">
        <color indexed="64"/>
      </bottom>
      <diagonal/>
    </border>
    <border>
      <left style="thin">
        <color indexed="64"/>
      </left>
      <right style="thin">
        <color indexed="64"/>
      </right>
      <top/>
      <bottom style="thin">
        <color auto="1"/>
      </bottom>
      <diagonal/>
    </border>
    <border>
      <left/>
      <right/>
      <top style="medium">
        <color auto="1"/>
      </top>
      <bottom style="thin">
        <color auto="1"/>
      </bottom>
      <diagonal/>
    </border>
    <border>
      <left style="thin">
        <color auto="1"/>
      </left>
      <right style="thin">
        <color auto="1"/>
      </right>
      <top style="thin">
        <color auto="1"/>
      </top>
      <bottom style="medium">
        <color indexed="64"/>
      </bottom>
      <diagonal/>
    </border>
    <border>
      <left/>
      <right style="medium">
        <color indexed="64"/>
      </right>
      <top style="medium">
        <color indexed="64"/>
      </top>
      <bottom style="thin">
        <color auto="1"/>
      </bottom>
      <diagonal/>
    </border>
    <border>
      <left/>
      <right style="medium">
        <color auto="1"/>
      </right>
      <top style="thin">
        <color auto="1"/>
      </top>
      <bottom style="medium">
        <color auto="1"/>
      </bottom>
      <diagonal/>
    </border>
    <border>
      <left style="medium">
        <color auto="1"/>
      </left>
      <right/>
      <top style="medium">
        <color indexed="8"/>
      </top>
      <bottom style="hair">
        <color indexed="8"/>
      </bottom>
      <diagonal/>
    </border>
    <border>
      <left style="medium">
        <color auto="1"/>
      </left>
      <right/>
      <top style="hair">
        <color indexed="8"/>
      </top>
      <bottom style="medium">
        <color indexed="8"/>
      </bottom>
      <diagonal/>
    </border>
    <border>
      <left/>
      <right style="medium">
        <color indexed="8"/>
      </right>
      <top/>
      <bottom style="medium">
        <color indexed="8"/>
      </bottom>
      <diagonal/>
    </border>
    <border>
      <left style="thin">
        <color indexed="8"/>
      </left>
      <right style="thin">
        <color indexed="8"/>
      </right>
      <top style="medium">
        <color theme="1"/>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medium">
        <color indexed="8"/>
      </bottom>
      <diagonal/>
    </border>
    <border>
      <left/>
      <right style="medium">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bottom style="thin">
        <color indexed="8"/>
      </bottom>
      <diagonal/>
    </border>
    <border>
      <left style="medium">
        <color auto="1"/>
      </left>
      <right/>
      <top style="medium">
        <color indexed="8"/>
      </top>
      <bottom/>
      <diagonal/>
    </border>
    <border>
      <left style="medium">
        <color auto="1"/>
      </left>
      <right/>
      <top style="medium">
        <color indexed="8"/>
      </top>
      <bottom style="medium">
        <color indexed="8"/>
      </bottom>
      <diagonal/>
    </border>
    <border>
      <left style="medium">
        <color auto="1"/>
      </left>
      <right/>
      <top/>
      <bottom style="medium">
        <color indexed="8"/>
      </bottom>
      <diagonal/>
    </border>
    <border>
      <left style="medium">
        <color auto="1"/>
      </left>
      <right/>
      <top style="medium">
        <color indexed="8"/>
      </top>
      <bottom style="medium">
        <color auto="1"/>
      </bottom>
      <diagonal/>
    </border>
    <border>
      <left style="medium">
        <color auto="1"/>
      </left>
      <right/>
      <top style="thin">
        <color auto="1"/>
      </top>
      <bottom style="hair">
        <color auto="1"/>
      </bottom>
      <diagonal/>
    </border>
    <border>
      <left style="medium">
        <color auto="1"/>
      </left>
      <right/>
      <top style="hair">
        <color auto="1"/>
      </top>
      <bottom style="hair">
        <color auto="1"/>
      </bottom>
      <diagonal/>
    </border>
    <border>
      <left style="medium">
        <color auto="1"/>
      </left>
      <right/>
      <top style="hair">
        <color auto="1"/>
      </top>
      <bottom style="medium">
        <color indexed="8"/>
      </bottom>
      <diagonal/>
    </border>
    <border>
      <left/>
      <right/>
      <top/>
      <bottom style="medium">
        <color indexed="8"/>
      </bottom>
      <diagonal/>
    </border>
    <border>
      <left/>
      <right style="medium">
        <color indexed="8"/>
      </right>
      <top style="thin">
        <color indexed="8"/>
      </top>
      <bottom/>
      <diagonal/>
    </border>
    <border>
      <left style="thin">
        <color indexed="64"/>
      </left>
      <right style="thin">
        <color indexed="64"/>
      </right>
      <top style="medium">
        <color indexed="64"/>
      </top>
      <bottom style="thin">
        <color indexed="8"/>
      </bottom>
      <diagonal/>
    </border>
    <border>
      <left style="thin">
        <color indexed="64"/>
      </left>
      <right style="thin">
        <color indexed="64"/>
      </right>
      <top style="thin">
        <color indexed="8"/>
      </top>
      <bottom style="thin">
        <color indexed="8"/>
      </bottom>
      <diagonal/>
    </border>
    <border>
      <left style="thin">
        <color indexed="64"/>
      </left>
      <right style="thin">
        <color indexed="64"/>
      </right>
      <top style="thin">
        <color indexed="8"/>
      </top>
      <bottom style="medium">
        <color indexed="8"/>
      </bottom>
      <diagonal/>
    </border>
    <border>
      <left style="thin">
        <color indexed="64"/>
      </left>
      <right style="thin">
        <color indexed="64"/>
      </right>
      <top/>
      <bottom style="medium">
        <color indexed="8"/>
      </bottom>
      <diagonal/>
    </border>
    <border>
      <left style="thin">
        <color indexed="64"/>
      </left>
      <right style="thin">
        <color indexed="64"/>
      </right>
      <top style="medium">
        <color indexed="8"/>
      </top>
      <bottom style="thin">
        <color indexed="8"/>
      </bottom>
      <diagonal/>
    </border>
    <border>
      <left style="thin">
        <color indexed="64"/>
      </left>
      <right style="thin">
        <color indexed="64"/>
      </right>
      <top style="medium">
        <color indexed="8"/>
      </top>
      <bottom style="medium">
        <color indexed="8"/>
      </bottom>
      <diagonal/>
    </border>
    <border>
      <left style="thin">
        <color indexed="64"/>
      </left>
      <right style="thin">
        <color indexed="64"/>
      </right>
      <top style="medium">
        <color indexed="8"/>
      </top>
      <bottom/>
      <diagonal/>
    </border>
    <border>
      <left style="thin">
        <color indexed="64"/>
      </left>
      <right style="thin">
        <color indexed="64"/>
      </right>
      <top style="medium">
        <color indexed="8"/>
      </top>
      <bottom style="medium">
        <color auto="1"/>
      </bottom>
      <diagonal/>
    </border>
    <border>
      <left style="thin">
        <color indexed="64"/>
      </left>
      <right style="thin">
        <color indexed="64"/>
      </right>
      <top/>
      <bottom style="thin">
        <color indexed="8"/>
      </bottom>
      <diagonal/>
    </border>
    <border>
      <left style="thin">
        <color indexed="64"/>
      </left>
      <right style="thin">
        <color indexed="64"/>
      </right>
      <top style="medium">
        <color auto="1"/>
      </top>
      <bottom style="thin">
        <color indexed="8"/>
      </bottom>
      <diagonal/>
    </border>
    <border>
      <left style="thin">
        <color indexed="64"/>
      </left>
      <right style="thin">
        <color indexed="64"/>
      </right>
      <top style="thin">
        <color indexed="8"/>
      </top>
      <bottom style="medium">
        <color auto="1"/>
      </bottom>
      <diagonal/>
    </border>
    <border>
      <left/>
      <right/>
      <top/>
      <bottom style="medium">
        <color indexed="64"/>
      </bottom>
      <diagonal/>
    </border>
    <border>
      <left/>
      <right/>
      <top style="thin">
        <color indexed="8"/>
      </top>
      <bottom style="thin">
        <color indexed="8"/>
      </bottom>
      <diagonal/>
    </border>
    <border>
      <left/>
      <right style="medium">
        <color indexed="8"/>
      </right>
      <top style="medium">
        <color auto="1"/>
      </top>
      <bottom style="thin">
        <color indexed="8"/>
      </bottom>
      <diagonal/>
    </border>
    <border>
      <left/>
      <right style="medium">
        <color indexed="8"/>
      </right>
      <top style="thin">
        <color auto="1"/>
      </top>
      <bottom style="medium">
        <color auto="1"/>
      </bottom>
      <diagonal/>
    </border>
    <border>
      <left style="thick">
        <color auto="1"/>
      </left>
      <right style="thick">
        <color auto="1"/>
      </right>
      <top style="thick">
        <color auto="1"/>
      </top>
      <bottom/>
      <diagonal/>
    </border>
    <border>
      <left style="thick">
        <color auto="1"/>
      </left>
      <right style="thick">
        <color auto="1"/>
      </right>
      <top/>
      <bottom style="medium">
        <color indexed="64"/>
      </bottom>
      <diagonal/>
    </border>
    <border>
      <left style="thick">
        <color auto="1"/>
      </left>
      <right style="thick">
        <color auto="1"/>
      </right>
      <top/>
      <bottom/>
      <diagonal/>
    </border>
    <border>
      <left style="thick">
        <color auto="1"/>
      </left>
      <right style="thick">
        <color auto="1"/>
      </right>
      <top style="medium">
        <color auto="1"/>
      </top>
      <bottom style="thin">
        <color indexed="8"/>
      </bottom>
      <diagonal/>
    </border>
    <border>
      <left style="thick">
        <color auto="1"/>
      </left>
      <right style="thick">
        <color auto="1"/>
      </right>
      <top style="thin">
        <color indexed="8"/>
      </top>
      <bottom style="thin">
        <color indexed="8"/>
      </bottom>
      <diagonal/>
    </border>
    <border>
      <left style="thick">
        <color auto="1"/>
      </left>
      <right style="thick">
        <color auto="1"/>
      </right>
      <top style="thin">
        <color indexed="8"/>
      </top>
      <bottom/>
      <diagonal/>
    </border>
    <border>
      <left style="thick">
        <color auto="1"/>
      </left>
      <right style="thick">
        <color auto="1"/>
      </right>
      <top style="thin">
        <color indexed="64"/>
      </top>
      <bottom style="thin">
        <color indexed="64"/>
      </bottom>
      <diagonal/>
    </border>
    <border>
      <left style="thick">
        <color auto="1"/>
      </left>
      <right style="thick">
        <color auto="1"/>
      </right>
      <top style="thin">
        <color indexed="8"/>
      </top>
      <bottom style="thin">
        <color indexed="64"/>
      </bottom>
      <diagonal/>
    </border>
    <border>
      <left style="thick">
        <color auto="1"/>
      </left>
      <right style="thick">
        <color auto="1"/>
      </right>
      <top/>
      <bottom style="thin">
        <color auto="1"/>
      </bottom>
      <diagonal/>
    </border>
    <border>
      <left style="thick">
        <color auto="1"/>
      </left>
      <right style="thick">
        <color auto="1"/>
      </right>
      <top/>
      <bottom style="thick">
        <color auto="1"/>
      </bottom>
      <diagonal/>
    </border>
    <border>
      <left style="thick">
        <color indexed="64"/>
      </left>
      <right style="thick">
        <color indexed="64"/>
      </right>
      <top style="thick">
        <color indexed="64"/>
      </top>
      <bottom style="thin">
        <color auto="1"/>
      </bottom>
      <diagonal/>
    </border>
    <border>
      <left style="thick">
        <color indexed="64"/>
      </left>
      <right style="thick">
        <color indexed="64"/>
      </right>
      <top style="thin">
        <color auto="1"/>
      </top>
      <bottom style="thick">
        <color indexed="64"/>
      </bottom>
      <diagonal/>
    </border>
    <border>
      <left/>
      <right style="medium">
        <color indexed="64"/>
      </right>
      <top style="thin">
        <color auto="1"/>
      </top>
      <bottom style="medium">
        <color theme="1"/>
      </bottom>
      <diagonal/>
    </border>
    <border>
      <left style="thick">
        <color indexed="64"/>
      </left>
      <right style="thick">
        <color indexed="64"/>
      </right>
      <top style="thin">
        <color auto="1"/>
      </top>
      <bottom style="thin">
        <color auto="1"/>
      </bottom>
      <diagonal/>
    </border>
    <border>
      <left/>
      <right style="medium">
        <color indexed="64"/>
      </right>
      <top style="medium">
        <color theme="1"/>
      </top>
      <bottom style="thin">
        <color auto="1"/>
      </bottom>
      <diagonal/>
    </border>
    <border>
      <left/>
      <right style="medium">
        <color indexed="8"/>
      </right>
      <top style="medium">
        <color theme="1"/>
      </top>
      <bottom style="thin">
        <color indexed="8"/>
      </bottom>
      <diagonal/>
    </border>
    <border>
      <left style="medium">
        <color indexed="8"/>
      </left>
      <right style="medium">
        <color indexed="8"/>
      </right>
      <top/>
      <bottom style="medium">
        <color indexed="8"/>
      </bottom>
      <diagonal/>
    </border>
    <border>
      <left style="thick">
        <color indexed="64"/>
      </left>
      <right style="thick">
        <color indexed="64"/>
      </right>
      <top style="thick">
        <color indexed="64"/>
      </top>
      <bottom style="thin">
        <color indexed="8"/>
      </bottom>
      <diagonal/>
    </border>
    <border>
      <left style="thick">
        <color indexed="64"/>
      </left>
      <right style="thick">
        <color indexed="64"/>
      </right>
      <top/>
      <bottom style="thin">
        <color indexed="8"/>
      </bottom>
      <diagonal/>
    </border>
    <border>
      <left style="thick">
        <color indexed="64"/>
      </left>
      <right style="thick">
        <color indexed="64"/>
      </right>
      <top style="thin">
        <color indexed="8"/>
      </top>
      <bottom style="thin">
        <color auto="1"/>
      </bottom>
      <diagonal/>
    </border>
    <border>
      <left style="thick">
        <color indexed="64"/>
      </left>
      <right style="thick">
        <color indexed="64"/>
      </right>
      <top style="thin">
        <color indexed="8"/>
      </top>
      <bottom style="thick">
        <color indexed="64"/>
      </bottom>
      <diagonal/>
    </border>
    <border>
      <left style="thick">
        <color indexed="8"/>
      </left>
      <right style="thick">
        <color indexed="8"/>
      </right>
      <top style="thick">
        <color indexed="8"/>
      </top>
      <bottom style="thin">
        <color indexed="8"/>
      </bottom>
      <diagonal/>
    </border>
    <border>
      <left style="thick">
        <color indexed="8"/>
      </left>
      <right style="thick">
        <color indexed="8"/>
      </right>
      <top style="thin">
        <color indexed="8"/>
      </top>
      <bottom style="thin">
        <color indexed="8"/>
      </bottom>
      <diagonal/>
    </border>
    <border>
      <left style="thick">
        <color indexed="8"/>
      </left>
      <right style="thick">
        <color indexed="8"/>
      </right>
      <top/>
      <bottom style="thick">
        <color indexed="8"/>
      </bottom>
      <diagonal/>
    </border>
    <border>
      <left style="thick">
        <color indexed="8"/>
      </left>
      <right style="thick">
        <color indexed="8"/>
      </right>
      <top style="thin">
        <color indexed="8"/>
      </top>
      <bottom style="thick">
        <color indexed="8"/>
      </bottom>
      <diagonal/>
    </border>
    <border>
      <left/>
      <right/>
      <top style="thin">
        <color indexed="8"/>
      </top>
      <bottom style="medium">
        <color indexed="8"/>
      </bottom>
      <diagonal/>
    </border>
    <border>
      <left/>
      <right/>
      <top/>
      <bottom style="thin">
        <color indexed="8"/>
      </bottom>
      <diagonal/>
    </border>
    <border>
      <left style="medium">
        <color indexed="8"/>
      </left>
      <right style="medium">
        <color indexed="8"/>
      </right>
      <top/>
      <bottom/>
      <diagonal/>
    </border>
    <border>
      <left style="thick">
        <color indexed="8"/>
      </left>
      <right style="thick">
        <color indexed="8"/>
      </right>
      <top/>
      <bottom style="thin">
        <color indexed="8"/>
      </bottom>
      <diagonal/>
    </border>
    <border>
      <left/>
      <right/>
      <top style="medium">
        <color indexed="8"/>
      </top>
      <bottom style="thin">
        <color indexed="8"/>
      </bottom>
      <diagonal/>
    </border>
    <border>
      <left/>
      <right/>
      <top style="medium">
        <color indexed="8"/>
      </top>
      <bottom style="medium">
        <color indexed="8"/>
      </bottom>
      <diagonal/>
    </border>
    <border>
      <left/>
      <right/>
      <top style="medium">
        <color indexed="8"/>
      </top>
      <bottom/>
      <diagonal/>
    </border>
    <border>
      <left/>
      <right/>
      <top style="medium">
        <color indexed="8"/>
      </top>
      <bottom style="medium">
        <color auto="1"/>
      </bottom>
      <diagonal/>
    </border>
    <border>
      <left/>
      <right/>
      <top style="thin">
        <color indexed="8"/>
      </top>
      <bottom/>
      <diagonal/>
    </border>
    <border>
      <left/>
      <right/>
      <top style="medium">
        <color auto="1"/>
      </top>
      <bottom style="thin">
        <color indexed="8"/>
      </bottom>
      <diagonal/>
    </border>
    <border>
      <left/>
      <right/>
      <top style="thin">
        <color indexed="8"/>
      </top>
      <bottom style="medium">
        <color auto="1"/>
      </bottom>
      <diagonal/>
    </border>
    <border>
      <left/>
      <right style="medium">
        <color indexed="8"/>
      </right>
      <top style="medium">
        <color indexed="8"/>
      </top>
      <bottom style="thin">
        <color indexed="8"/>
      </bottom>
      <diagonal/>
    </border>
    <border>
      <left/>
      <right style="medium">
        <color indexed="8"/>
      </right>
      <top style="medium">
        <color indexed="8"/>
      </top>
      <bottom style="medium">
        <color indexed="8"/>
      </bottom>
      <diagonal/>
    </border>
    <border>
      <left/>
      <right style="medium">
        <color indexed="8"/>
      </right>
      <top style="thin">
        <color auto="1"/>
      </top>
      <bottom style="medium">
        <color indexed="8"/>
      </bottom>
      <diagonal/>
    </border>
    <border>
      <left style="thick">
        <color indexed="64"/>
      </left>
      <right style="thick">
        <color indexed="64"/>
      </right>
      <top style="thin">
        <color indexed="8"/>
      </top>
      <bottom style="thin">
        <color indexed="8"/>
      </bottom>
      <diagonal/>
    </border>
    <border>
      <left style="thick">
        <color indexed="64"/>
      </left>
      <right style="thick">
        <color indexed="64"/>
      </right>
      <top style="thin">
        <color indexed="8"/>
      </top>
      <bottom style="medium">
        <color indexed="8"/>
      </bottom>
      <diagonal/>
    </border>
    <border>
      <left style="thick">
        <color indexed="64"/>
      </left>
      <right style="thick">
        <color indexed="64"/>
      </right>
      <top/>
      <bottom style="medium">
        <color indexed="8"/>
      </bottom>
      <diagonal/>
    </border>
    <border>
      <left style="thick">
        <color indexed="64"/>
      </left>
      <right style="thick">
        <color indexed="64"/>
      </right>
      <top style="medium">
        <color indexed="8"/>
      </top>
      <bottom style="thin">
        <color indexed="8"/>
      </bottom>
      <diagonal/>
    </border>
    <border>
      <left style="thick">
        <color indexed="64"/>
      </left>
      <right style="thick">
        <color indexed="64"/>
      </right>
      <top style="medium">
        <color indexed="8"/>
      </top>
      <bottom style="medium">
        <color indexed="8"/>
      </bottom>
      <diagonal/>
    </border>
    <border>
      <left style="thick">
        <color indexed="64"/>
      </left>
      <right style="thick">
        <color indexed="64"/>
      </right>
      <top style="medium">
        <color indexed="8"/>
      </top>
      <bottom/>
      <diagonal/>
    </border>
    <border>
      <left style="thick">
        <color indexed="64"/>
      </left>
      <right style="thick">
        <color indexed="64"/>
      </right>
      <top style="medium">
        <color indexed="8"/>
      </top>
      <bottom style="medium">
        <color auto="1"/>
      </bottom>
      <diagonal/>
    </border>
    <border>
      <left style="thick">
        <color indexed="64"/>
      </left>
      <right style="thick">
        <color indexed="64"/>
      </right>
      <top style="medium">
        <color auto="1"/>
      </top>
      <bottom style="thin">
        <color indexed="8"/>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style="medium">
        <color theme="1"/>
      </right>
      <top/>
      <bottom style="medium">
        <color theme="1"/>
      </bottom>
      <diagonal/>
    </border>
    <border>
      <left style="medium">
        <color theme="1"/>
      </left>
      <right/>
      <top/>
      <bottom/>
      <diagonal/>
    </border>
    <border>
      <left/>
      <right style="medium">
        <color theme="1"/>
      </right>
      <top/>
      <bottom/>
      <diagonal/>
    </border>
    <border>
      <left style="medium">
        <color theme="1"/>
      </left>
      <right style="medium">
        <color theme="1"/>
      </right>
      <top style="medium">
        <color theme="1"/>
      </top>
      <bottom/>
      <diagonal/>
    </border>
    <border>
      <left style="medium">
        <color theme="1"/>
      </left>
      <right style="medium">
        <color theme="1"/>
      </right>
      <top/>
      <bottom/>
      <diagonal/>
    </border>
    <border>
      <left style="medium">
        <color theme="1"/>
      </left>
      <right style="medium">
        <color theme="1"/>
      </right>
      <top/>
      <bottom style="medium">
        <color theme="1"/>
      </bottom>
      <diagonal/>
    </border>
    <border>
      <left/>
      <right/>
      <top style="medium">
        <color auto="1"/>
      </top>
      <bottom style="medium">
        <color indexed="64"/>
      </bottom>
      <diagonal/>
    </border>
    <border>
      <left/>
      <right style="medium">
        <color auto="1"/>
      </right>
      <top style="medium">
        <color auto="1"/>
      </top>
      <bottom style="medium">
        <color indexed="64"/>
      </bottom>
      <diagonal/>
    </border>
    <border>
      <left style="thin">
        <color auto="1"/>
      </left>
      <right/>
      <top style="medium">
        <color auto="1"/>
      </top>
      <bottom style="medium">
        <color auto="1"/>
      </bottom>
      <diagonal/>
    </border>
  </borders>
  <cellStyleXfs count="201">
    <xf numFmtId="0" fontId="0" fillId="0" borderId="0"/>
    <xf numFmtId="4" fontId="59" fillId="0" borderId="0" applyFill="0" applyBorder="0" applyAlignment="0" applyProtection="0"/>
    <xf numFmtId="38" fontId="59" fillId="0" borderId="0" applyFill="0" applyBorder="0" applyAlignment="0" applyProtection="0"/>
    <xf numFmtId="40" fontId="59" fillId="0" borderId="0" applyFill="0" applyBorder="0" applyAlignment="0" applyProtection="0"/>
    <xf numFmtId="166" fontId="59" fillId="0" borderId="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Protection="0">
      <alignment horizontal="center"/>
    </xf>
    <xf numFmtId="167" fontId="59" fillId="0" borderId="0" applyFill="0" applyBorder="0" applyAlignment="0" applyProtection="0"/>
    <xf numFmtId="3" fontId="8" fillId="0" borderId="0" applyFill="0" applyBorder="0" applyAlignment="0"/>
    <xf numFmtId="3" fontId="8" fillId="0" borderId="0" applyFill="0" applyBorder="0" applyAlignment="0" applyProtection="0"/>
    <xf numFmtId="168" fontId="59" fillId="0" borderId="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3" fontId="59" fillId="0" borderId="0" applyFill="0" applyBorder="0" applyAlignment="0" applyProtection="0"/>
    <xf numFmtId="169" fontId="59" fillId="0" borderId="0" applyFill="0" applyBorder="0" applyAlignment="0" applyProtection="0"/>
    <xf numFmtId="4" fontId="59" fillId="0" borderId="0" applyFill="0" applyBorder="0" applyAlignment="0" applyProtection="0"/>
    <xf numFmtId="170" fontId="59" fillId="0" borderId="0" applyFill="0" applyBorder="0" applyAlignment="0" applyProtection="0"/>
    <xf numFmtId="171" fontId="59" fillId="0" borderId="0" applyFill="0" applyBorder="0" applyAlignment="0" applyProtection="0"/>
    <xf numFmtId="0" fontId="11" fillId="0" borderId="0"/>
    <xf numFmtId="0" fontId="59" fillId="0" borderId="0"/>
    <xf numFmtId="0" fontId="11" fillId="0" borderId="0"/>
    <xf numFmtId="9" fontId="59" fillId="0" borderId="0" applyFill="0" applyBorder="0" applyAlignment="0" applyProtection="0"/>
    <xf numFmtId="172" fontId="59" fillId="0" borderId="0" applyFill="0" applyBorder="0" applyAlignment="0" applyProtection="0"/>
    <xf numFmtId="10" fontId="59" fillId="0" borderId="0" applyFill="0" applyBorder="0" applyAlignment="0" applyProtection="0"/>
    <xf numFmtId="9" fontId="59" fillId="0" borderId="0" applyFill="0" applyBorder="0" applyAlignment="0" applyProtection="0"/>
    <xf numFmtId="173" fontId="59" fillId="0" borderId="0" applyFill="0" applyBorder="0" applyProtection="0">
      <alignment horizontal="center"/>
    </xf>
    <xf numFmtId="0" fontId="59" fillId="2" borderId="0" applyNumberFormat="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74" fillId="0" borderId="0"/>
    <xf numFmtId="0" fontId="75" fillId="0" borderId="0"/>
    <xf numFmtId="178" fontId="75" fillId="0" borderId="0" applyFont="0" applyFill="0" applyBorder="0" applyAlignment="0" applyProtection="0"/>
    <xf numFmtId="9" fontId="74" fillId="0" borderId="0" applyFont="0" applyFill="0" applyBorder="0" applyAlignment="0" applyProtection="0"/>
    <xf numFmtId="3" fontId="75" fillId="0" borderId="0" applyFont="0" applyFill="0" applyBorder="0" applyAlignment="0" applyProtection="0"/>
    <xf numFmtId="179" fontId="83" fillId="0" borderId="0" applyFont="0" applyFill="0" applyBorder="0" applyAlignment="0" applyProtection="0"/>
    <xf numFmtId="180" fontId="83" fillId="0" borderId="0" applyFon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90" fillId="0" borderId="0"/>
    <xf numFmtId="0" fontId="4" fillId="0" borderId="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3" fontId="3" fillId="0" borderId="0" applyFill="0" applyBorder="0" applyAlignment="0" applyProtection="0"/>
    <xf numFmtId="9" fontId="3" fillId="0" borderId="0" applyFill="0" applyBorder="0" applyAlignment="0" applyProtection="0"/>
    <xf numFmtId="4" fontId="3" fillId="0" borderId="0" applyFill="0" applyBorder="0" applyAlignment="0" applyProtection="0"/>
    <xf numFmtId="9" fontId="3" fillId="0" borderId="0" applyFill="0" applyBorder="0" applyAlignment="0" applyProtection="0"/>
    <xf numFmtId="4" fontId="3" fillId="0" borderId="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75" fillId="0" borderId="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178" fontId="97"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164" fontId="3" fillId="0" borderId="0" applyFon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1" fillId="0" borderId="0"/>
    <xf numFmtId="165" fontId="1" fillId="0" borderId="0" applyFon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cellStyleXfs>
  <cellXfs count="3461">
    <xf numFmtId="0" fontId="0" fillId="0" borderId="0" xfId="0"/>
    <xf numFmtId="0" fontId="13" fillId="0" borderId="0" xfId="0" applyFont="1"/>
    <xf numFmtId="0" fontId="0" fillId="0" borderId="0" xfId="0" applyAlignment="1">
      <alignment horizontal="center"/>
    </xf>
    <xf numFmtId="0" fontId="14" fillId="0" borderId="0" xfId="0" applyFont="1"/>
    <xf numFmtId="0" fontId="22" fillId="0" borderId="0" xfId="0" applyFont="1" applyAlignment="1">
      <alignment horizontal="center"/>
    </xf>
    <xf numFmtId="3" fontId="0" fillId="0" borderId="0" xfId="15" applyFont="1" applyFill="1" applyBorder="1" applyAlignment="1" applyProtection="1"/>
    <xf numFmtId="0" fontId="19" fillId="0" borderId="0" xfId="0" applyFont="1"/>
    <xf numFmtId="0" fontId="10" fillId="0" borderId="0" xfId="14" applyNumberFormat="1" applyFill="1" applyBorder="1" applyAlignment="1" applyProtection="1">
      <alignment horizontal="left"/>
    </xf>
    <xf numFmtId="0" fontId="25" fillId="0" borderId="0" xfId="0" applyFont="1"/>
    <xf numFmtId="0" fontId="30" fillId="0" borderId="0" xfId="0" applyFont="1"/>
    <xf numFmtId="0" fontId="20" fillId="0" borderId="0" xfId="0" applyFont="1"/>
    <xf numFmtId="4" fontId="0" fillId="0" borderId="0" xfId="17" applyFont="1" applyFill="1" applyBorder="1" applyAlignment="1" applyProtection="1"/>
    <xf numFmtId="0" fontId="0" fillId="0" borderId="0" xfId="21" applyFont="1"/>
    <xf numFmtId="3" fontId="0" fillId="0" borderId="0" xfId="21" applyNumberFormat="1" applyFont="1"/>
    <xf numFmtId="3" fontId="14" fillId="0" borderId="0" xfId="15" applyFont="1" applyFill="1" applyBorder="1" applyAlignment="1" applyProtection="1"/>
    <xf numFmtId="3" fontId="0" fillId="0" borderId="0" xfId="15" applyFont="1" applyFill="1" applyBorder="1" applyAlignment="1" applyProtection="1">
      <alignment horizontal="right"/>
    </xf>
    <xf numFmtId="9" fontId="21" fillId="0" borderId="0" xfId="26" applyFont="1" applyFill="1" applyBorder="1" applyAlignment="1" applyProtection="1">
      <alignment horizontal="right"/>
    </xf>
    <xf numFmtId="3" fontId="50" fillId="0" borderId="0" xfId="15" applyFont="1" applyFill="1" applyBorder="1" applyAlignment="1" applyProtection="1"/>
    <xf numFmtId="0" fontId="33" fillId="0" borderId="0" xfId="14" applyNumberFormat="1" applyFont="1" applyFill="1" applyBorder="1" applyAlignment="1" applyProtection="1">
      <alignment horizontal="left" vertical="center"/>
    </xf>
    <xf numFmtId="3" fontId="35" fillId="0" borderId="0" xfId="15" applyFont="1" applyFill="1" applyBorder="1" applyAlignment="1" applyProtection="1"/>
    <xf numFmtId="0" fontId="33" fillId="0" borderId="0" xfId="14" applyNumberFormat="1" applyFont="1" applyFill="1" applyBorder="1" applyAlignment="1" applyProtection="1">
      <alignment horizontal="left"/>
    </xf>
    <xf numFmtId="3" fontId="14" fillId="0" borderId="0" xfId="15" applyFont="1" applyFill="1" applyBorder="1" applyAlignment="1" applyProtection="1">
      <alignment horizontal="center"/>
    </xf>
    <xf numFmtId="3" fontId="0" fillId="0" borderId="0" xfId="15" applyFont="1" applyFill="1" applyBorder="1" applyAlignment="1" applyProtection="1">
      <alignment horizontal="center" vertical="top" wrapText="1"/>
    </xf>
    <xf numFmtId="3" fontId="13" fillId="0" borderId="0" xfId="15" applyFont="1" applyFill="1" applyBorder="1" applyAlignment="1" applyProtection="1"/>
    <xf numFmtId="0" fontId="27" fillId="0" borderId="0" xfId="0" applyFont="1"/>
    <xf numFmtId="3" fontId="19" fillId="0" borderId="0" xfId="15" applyFont="1" applyFill="1" applyBorder="1" applyAlignment="1" applyProtection="1"/>
    <xf numFmtId="0" fontId="28" fillId="0" borderId="0" xfId="14" applyNumberFormat="1" applyFont="1" applyFill="1" applyBorder="1" applyAlignment="1" applyProtection="1">
      <alignment horizontal="left"/>
    </xf>
    <xf numFmtId="0" fontId="30" fillId="0" borderId="0" xfId="0" applyFont="1" applyAlignment="1">
      <alignment horizontal="center"/>
    </xf>
    <xf numFmtId="3" fontId="30" fillId="0" borderId="0" xfId="0" applyNumberFormat="1" applyFont="1"/>
    <xf numFmtId="0" fontId="32" fillId="0" borderId="0" xfId="0" applyFont="1"/>
    <xf numFmtId="0" fontId="56" fillId="0" borderId="0" xfId="14" applyNumberFormat="1" applyFont="1" applyFill="1" applyBorder="1" applyAlignment="1" applyProtection="1">
      <alignment horizontal="left"/>
    </xf>
    <xf numFmtId="0" fontId="22" fillId="0" borderId="0" xfId="0" applyFont="1"/>
    <xf numFmtId="0" fontId="35" fillId="0" borderId="0" xfId="0" applyFont="1"/>
    <xf numFmtId="175" fontId="0" fillId="0" borderId="0" xfId="0" applyNumberFormat="1"/>
    <xf numFmtId="0" fontId="0" fillId="0" borderId="0" xfId="0" applyAlignment="1">
      <alignment horizontal="center" vertical="top" wrapText="1"/>
    </xf>
    <xf numFmtId="175" fontId="19" fillId="0" borderId="0" xfId="0" applyNumberFormat="1" applyFont="1"/>
    <xf numFmtId="3" fontId="0" fillId="0" borderId="10" xfId="15" applyFont="1" applyFill="1" applyBorder="1" applyAlignment="1" applyProtection="1">
      <alignment horizontal="center"/>
    </xf>
    <xf numFmtId="0" fontId="58" fillId="0" borderId="0" xfId="0" applyFont="1"/>
    <xf numFmtId="3" fontId="0" fillId="0" borderId="1" xfId="15" applyFont="1" applyFill="1" applyBorder="1" applyAlignment="1" applyProtection="1">
      <alignment horizontal="center"/>
    </xf>
    <xf numFmtId="0" fontId="3" fillId="0" borderId="0" xfId="0" applyFont="1"/>
    <xf numFmtId="3" fontId="0" fillId="6" borderId="0" xfId="15" applyFont="1" applyFill="1" applyBorder="1" applyAlignment="1" applyProtection="1"/>
    <xf numFmtId="4" fontId="0" fillId="6" borderId="0" xfId="15" applyNumberFormat="1" applyFont="1" applyFill="1" applyBorder="1" applyAlignment="1" applyProtection="1"/>
    <xf numFmtId="3" fontId="0" fillId="0" borderId="0" xfId="15" quotePrefix="1" applyFont="1" applyFill="1" applyBorder="1" applyAlignment="1" applyProtection="1"/>
    <xf numFmtId="0" fontId="0" fillId="7" borderId="0" xfId="0" applyFill="1"/>
    <xf numFmtId="3" fontId="0" fillId="10" borderId="0" xfId="15" applyFont="1" applyFill="1" applyBorder="1" applyAlignment="1" applyProtection="1">
      <alignment horizontal="right"/>
    </xf>
    <xf numFmtId="3" fontId="48" fillId="10" borderId="0" xfId="15" applyFont="1" applyFill="1" applyBorder="1" applyAlignment="1" applyProtection="1"/>
    <xf numFmtId="3" fontId="0" fillId="10" borderId="0" xfId="15" applyFont="1" applyFill="1" applyBorder="1" applyAlignment="1" applyProtection="1"/>
    <xf numFmtId="3" fontId="27" fillId="10" borderId="0" xfId="15" applyFont="1" applyFill="1" applyBorder="1" applyAlignment="1" applyProtection="1"/>
    <xf numFmtId="3" fontId="16" fillId="10" borderId="0" xfId="15" applyFont="1" applyFill="1" applyBorder="1" applyAlignment="1" applyProtection="1">
      <alignment horizontal="right"/>
    </xf>
    <xf numFmtId="3" fontId="0" fillId="14" borderId="0" xfId="15" applyFont="1" applyFill="1" applyBorder="1" applyAlignment="1" applyProtection="1"/>
    <xf numFmtId="3" fontId="16" fillId="14" borderId="0" xfId="15" applyFont="1" applyFill="1" applyBorder="1" applyAlignment="1" applyProtection="1">
      <alignment horizontal="right"/>
    </xf>
    <xf numFmtId="3" fontId="20" fillId="14" borderId="0" xfId="15" applyFont="1" applyFill="1" applyBorder="1" applyAlignment="1" applyProtection="1"/>
    <xf numFmtId="3" fontId="27" fillId="14" borderId="0" xfId="15" applyFont="1" applyFill="1" applyBorder="1" applyAlignment="1" applyProtection="1"/>
    <xf numFmtId="3" fontId="16" fillId="10" borderId="0" xfId="15" applyFont="1" applyFill="1" applyBorder="1" applyAlignment="1" applyProtection="1"/>
    <xf numFmtId="3" fontId="20" fillId="10" borderId="0" xfId="15" applyFont="1" applyFill="1" applyBorder="1" applyAlignment="1" applyProtection="1"/>
    <xf numFmtId="3" fontId="13" fillId="11" borderId="9" xfId="1" applyNumberFormat="1" applyFont="1" applyFill="1" applyBorder="1" applyAlignment="1" applyProtection="1"/>
    <xf numFmtId="3" fontId="13" fillId="11" borderId="5" xfId="1" applyNumberFormat="1" applyFont="1" applyFill="1" applyBorder="1" applyAlignment="1" applyProtection="1"/>
    <xf numFmtId="0" fontId="37" fillId="11" borderId="0" xfId="0" applyFont="1" applyFill="1" applyAlignment="1">
      <alignment horizontal="center"/>
    </xf>
    <xf numFmtId="0" fontId="6" fillId="11" borderId="0" xfId="0" applyFont="1" applyFill="1" applyAlignment="1">
      <alignment horizontal="center"/>
    </xf>
    <xf numFmtId="0" fontId="73" fillId="19" borderId="0" xfId="0" applyFont="1" applyFill="1" applyAlignment="1">
      <alignment horizontal="center"/>
    </xf>
    <xf numFmtId="0" fontId="72" fillId="10" borderId="0" xfId="14" applyFont="1" applyFill="1" applyBorder="1" applyAlignment="1">
      <alignment horizontal="center"/>
    </xf>
    <xf numFmtId="1" fontId="3" fillId="18" borderId="0" xfId="15" applyNumberFormat="1" applyFont="1" applyFill="1" applyBorder="1" applyAlignment="1" applyProtection="1">
      <alignment horizontal="center" vertical="top" wrapText="1"/>
    </xf>
    <xf numFmtId="0" fontId="75" fillId="0" borderId="0" xfId="45"/>
    <xf numFmtId="0" fontId="75" fillId="0" borderId="0" xfId="45" applyAlignment="1">
      <alignment wrapText="1"/>
    </xf>
    <xf numFmtId="177" fontId="75" fillId="0" borderId="0" xfId="45" applyNumberFormat="1" applyAlignment="1">
      <alignment horizontal="left"/>
    </xf>
    <xf numFmtId="0" fontId="75" fillId="0" borderId="0" xfId="45" applyAlignment="1">
      <alignment horizontal="center"/>
    </xf>
    <xf numFmtId="0" fontId="78" fillId="0" borderId="0" xfId="45" applyFont="1"/>
    <xf numFmtId="0" fontId="79" fillId="0" borderId="0" xfId="45" applyFont="1"/>
    <xf numFmtId="0" fontId="75" fillId="0" borderId="0" xfId="44" applyFont="1" applyAlignment="1">
      <alignment horizontal="center"/>
    </xf>
    <xf numFmtId="0" fontId="78" fillId="0" borderId="0" xfId="44" applyFont="1"/>
    <xf numFmtId="0" fontId="79" fillId="0" borderId="0" xfId="44" applyFont="1"/>
    <xf numFmtId="0" fontId="81" fillId="0" borderId="0" xfId="44" applyFont="1"/>
    <xf numFmtId="0" fontId="79" fillId="0" borderId="0" xfId="45" applyFont="1" applyAlignment="1">
      <alignment horizontal="left"/>
    </xf>
    <xf numFmtId="4" fontId="79" fillId="0" borderId="0" xfId="45" applyNumberFormat="1" applyFont="1"/>
    <xf numFmtId="4" fontId="77" fillId="0" borderId="0" xfId="45" applyNumberFormat="1" applyFont="1" applyAlignment="1">
      <alignment horizontal="left"/>
    </xf>
    <xf numFmtId="0" fontId="75" fillId="7" borderId="0" xfId="45" applyFill="1"/>
    <xf numFmtId="4" fontId="84" fillId="10" borderId="0" xfId="46" applyNumberFormat="1" applyFont="1" applyFill="1" applyBorder="1" applyAlignment="1"/>
    <xf numFmtId="3" fontId="66" fillId="10" borderId="35" xfId="0" applyNumberFormat="1" applyFont="1" applyFill="1" applyBorder="1"/>
    <xf numFmtId="3" fontId="66" fillId="10" borderId="31" xfId="0" applyNumberFormat="1" applyFont="1" applyFill="1" applyBorder="1"/>
    <xf numFmtId="3" fontId="66" fillId="10" borderId="42" xfId="0" applyNumberFormat="1" applyFont="1" applyFill="1" applyBorder="1"/>
    <xf numFmtId="0" fontId="22" fillId="4" borderId="31" xfId="0" applyFont="1" applyFill="1" applyBorder="1" applyAlignment="1">
      <alignment horizontal="left"/>
    </xf>
    <xf numFmtId="0" fontId="0" fillId="0" borderId="46" xfId="0" applyBorder="1"/>
    <xf numFmtId="0" fontId="3" fillId="0" borderId="46" xfId="0" applyFont="1" applyBorder="1" applyAlignment="1">
      <alignment horizontal="center"/>
    </xf>
    <xf numFmtId="0" fontId="13" fillId="0" borderId="46" xfId="0" applyFont="1" applyBorder="1" applyAlignment="1">
      <alignment horizontal="center"/>
    </xf>
    <xf numFmtId="0" fontId="72" fillId="20" borderId="0" xfId="14" applyNumberFormat="1" applyFont="1" applyFill="1" applyBorder="1" applyAlignment="1" applyProtection="1">
      <alignment horizontal="center"/>
    </xf>
    <xf numFmtId="3" fontId="0" fillId="7" borderId="0" xfId="0" applyNumberFormat="1" applyFill="1"/>
    <xf numFmtId="3" fontId="13" fillId="7" borderId="0" xfId="0" applyNumberFormat="1" applyFont="1" applyFill="1"/>
    <xf numFmtId="3" fontId="16" fillId="7" borderId="0" xfId="0" applyNumberFormat="1" applyFont="1" applyFill="1"/>
    <xf numFmtId="0" fontId="2" fillId="7" borderId="0" xfId="0" applyFont="1" applyFill="1"/>
    <xf numFmtId="3" fontId="20" fillId="7" borderId="0" xfId="0" applyNumberFormat="1" applyFont="1" applyFill="1"/>
    <xf numFmtId="3" fontId="24" fillId="7" borderId="0" xfId="0" applyNumberFormat="1" applyFont="1" applyFill="1"/>
    <xf numFmtId="0" fontId="64" fillId="10" borderId="0" xfId="0" applyFont="1" applyFill="1"/>
    <xf numFmtId="3" fontId="70" fillId="10" borderId="0" xfId="0" applyNumberFormat="1" applyFont="1" applyFill="1"/>
    <xf numFmtId="0" fontId="70" fillId="10" borderId="0" xfId="0" applyFont="1" applyFill="1"/>
    <xf numFmtId="3" fontId="64" fillId="10" borderId="0" xfId="0" applyNumberFormat="1" applyFont="1" applyFill="1"/>
    <xf numFmtId="3" fontId="66" fillId="10" borderId="0" xfId="0" applyNumberFormat="1" applyFont="1" applyFill="1"/>
    <xf numFmtId="0" fontId="29" fillId="0" borderId="0" xfId="0" applyFont="1"/>
    <xf numFmtId="0" fontId="0" fillId="0" borderId="47" xfId="21" applyFont="1" applyBorder="1"/>
    <xf numFmtId="0" fontId="0" fillId="0" borderId="47" xfId="0" applyBorder="1"/>
    <xf numFmtId="3" fontId="0" fillId="0" borderId="47" xfId="15" applyFont="1" applyFill="1" applyBorder="1" applyAlignment="1" applyProtection="1"/>
    <xf numFmtId="0" fontId="75" fillId="0" borderId="47" xfId="45" applyBorder="1"/>
    <xf numFmtId="0" fontId="30" fillId="0" borderId="47" xfId="0" applyFont="1" applyBorder="1"/>
    <xf numFmtId="0" fontId="66" fillId="10" borderId="0" xfId="0" applyFont="1" applyFill="1"/>
    <xf numFmtId="0" fontId="68" fillId="10" borderId="0" xfId="0" applyFont="1" applyFill="1"/>
    <xf numFmtId="3" fontId="0" fillId="7" borderId="0" xfId="2" applyNumberFormat="1" applyFont="1" applyFill="1" applyBorder="1" applyAlignment="1" applyProtection="1"/>
    <xf numFmtId="0" fontId="0" fillId="7" borderId="43" xfId="0" applyFill="1" applyBorder="1"/>
    <xf numFmtId="0" fontId="0" fillId="7" borderId="48" xfId="0" applyFill="1" applyBorder="1"/>
    <xf numFmtId="0" fontId="0" fillId="11" borderId="51" xfId="0" applyFill="1" applyBorder="1" applyAlignment="1">
      <alignment horizontal="center"/>
    </xf>
    <xf numFmtId="3" fontId="16" fillId="7" borderId="0" xfId="2" applyNumberFormat="1" applyFont="1" applyFill="1" applyBorder="1" applyAlignment="1" applyProtection="1"/>
    <xf numFmtId="0" fontId="0" fillId="16" borderId="53" xfId="0" applyFill="1" applyBorder="1" applyAlignment="1">
      <alignment vertical="top" wrapText="1"/>
    </xf>
    <xf numFmtId="1" fontId="0" fillId="16" borderId="54" xfId="15" applyNumberFormat="1" applyFont="1" applyFill="1" applyBorder="1" applyAlignment="1" applyProtection="1">
      <alignment horizontal="center" vertical="top" wrapText="1"/>
    </xf>
    <xf numFmtId="3" fontId="16" fillId="7" borderId="0" xfId="15" applyFont="1" applyFill="1" applyBorder="1" applyAlignment="1" applyProtection="1">
      <protection locked="0"/>
    </xf>
    <xf numFmtId="3" fontId="26" fillId="0" borderId="0" xfId="15" applyFont="1" applyFill="1" applyBorder="1" applyAlignment="1" applyProtection="1"/>
    <xf numFmtId="3" fontId="68" fillId="10" borderId="0" xfId="15" applyFont="1" applyFill="1" applyBorder="1" applyAlignment="1" applyProtection="1"/>
    <xf numFmtId="3" fontId="23" fillId="7" borderId="0" xfId="15" applyFont="1" applyFill="1" applyBorder="1" applyAlignment="1" applyProtection="1"/>
    <xf numFmtId="3" fontId="68" fillId="10" borderId="0" xfId="15" applyFont="1" applyFill="1" applyBorder="1" applyAlignment="1" applyProtection="1">
      <protection locked="0"/>
    </xf>
    <xf numFmtId="0" fontId="0" fillId="7" borderId="0" xfId="0" applyFill="1" applyAlignment="1">
      <alignment vertical="center"/>
    </xf>
    <xf numFmtId="1" fontId="16" fillId="3" borderId="50" xfId="15" applyNumberFormat="1" applyFont="1" applyFill="1" applyBorder="1" applyAlignment="1" applyProtection="1">
      <alignment horizontal="center" vertical="top" wrapText="1"/>
    </xf>
    <xf numFmtId="0" fontId="6" fillId="16" borderId="55" xfId="0" applyFont="1" applyFill="1" applyBorder="1" applyAlignment="1">
      <alignment horizontal="center" vertical="top" wrapText="1"/>
    </xf>
    <xf numFmtId="1" fontId="0" fillId="16" borderId="56" xfId="15" applyNumberFormat="1" applyFont="1" applyFill="1" applyBorder="1" applyAlignment="1" applyProtection="1">
      <alignment horizontal="center" vertical="top" wrapText="1"/>
    </xf>
    <xf numFmtId="3" fontId="16" fillId="7" borderId="50" xfId="0" applyNumberFormat="1" applyFont="1" applyFill="1" applyBorder="1"/>
    <xf numFmtId="3" fontId="16" fillId="7" borderId="50" xfId="2" applyNumberFormat="1" applyFont="1" applyFill="1" applyBorder="1" applyAlignment="1" applyProtection="1"/>
    <xf numFmtId="0" fontId="66" fillId="10" borderId="57" xfId="0" applyFont="1" applyFill="1" applyBorder="1"/>
    <xf numFmtId="3" fontId="16" fillId="7" borderId="50" xfId="15" applyFont="1" applyFill="1" applyBorder="1" applyAlignment="1" applyProtection="1">
      <protection locked="0"/>
    </xf>
    <xf numFmtId="3" fontId="68" fillId="10" borderId="50" xfId="15" applyFont="1" applyFill="1" applyBorder="1" applyAlignment="1" applyProtection="1"/>
    <xf numFmtId="3" fontId="23" fillId="7" borderId="50" xfId="15" applyFont="1" applyFill="1" applyBorder="1" applyAlignment="1" applyProtection="1"/>
    <xf numFmtId="3" fontId="68" fillId="10" borderId="50" xfId="15" applyFont="1" applyFill="1" applyBorder="1" applyAlignment="1" applyProtection="1">
      <protection locked="0"/>
    </xf>
    <xf numFmtId="0" fontId="0" fillId="0" borderId="51" xfId="0" applyBorder="1" applyAlignment="1">
      <alignment horizontal="center"/>
    </xf>
    <xf numFmtId="3" fontId="27" fillId="0" borderId="50" xfId="15" applyFont="1" applyFill="1" applyBorder="1" applyAlignment="1" applyProtection="1"/>
    <xf numFmtId="3" fontId="66" fillId="10" borderId="50" xfId="0" applyNumberFormat="1" applyFont="1" applyFill="1" applyBorder="1"/>
    <xf numFmtId="0" fontId="0" fillId="7" borderId="51" xfId="0" applyFill="1" applyBorder="1"/>
    <xf numFmtId="0" fontId="0" fillId="0" borderId="51" xfId="0" applyBorder="1"/>
    <xf numFmtId="0" fontId="0" fillId="0" borderId="50" xfId="0" applyBorder="1"/>
    <xf numFmtId="0" fontId="38" fillId="0" borderId="51" xfId="0" applyFont="1" applyBorder="1"/>
    <xf numFmtId="0" fontId="38" fillId="0" borderId="0" xfId="0" applyFont="1"/>
    <xf numFmtId="3" fontId="54" fillId="28" borderId="50" xfId="0" applyNumberFormat="1" applyFont="1" applyFill="1" applyBorder="1"/>
    <xf numFmtId="0" fontId="54" fillId="28" borderId="50" xfId="0" applyFont="1" applyFill="1" applyBorder="1"/>
    <xf numFmtId="0" fontId="64" fillId="10" borderId="51" xfId="0" applyFont="1" applyFill="1" applyBorder="1"/>
    <xf numFmtId="3" fontId="64" fillId="10" borderId="50" xfId="0" applyNumberFormat="1" applyFont="1" applyFill="1" applyBorder="1"/>
    <xf numFmtId="0" fontId="0" fillId="7" borderId="50" xfId="0" applyFill="1" applyBorder="1"/>
    <xf numFmtId="0" fontId="13" fillId="7" borderId="50" xfId="0" applyFont="1" applyFill="1" applyBorder="1"/>
    <xf numFmtId="0" fontId="4" fillId="0" borderId="0" xfId="59"/>
    <xf numFmtId="0" fontId="83" fillId="0" borderId="19" xfId="58" applyFont="1" applyBorder="1" applyAlignment="1">
      <alignment horizontal="center"/>
    </xf>
    <xf numFmtId="0" fontId="83" fillId="0" borderId="58" xfId="58" applyFont="1" applyBorder="1" applyAlignment="1">
      <alignment horizontal="left"/>
    </xf>
    <xf numFmtId="0" fontId="83" fillId="0" borderId="59" xfId="58" applyFont="1" applyBorder="1" applyAlignment="1">
      <alignment horizontal="left"/>
    </xf>
    <xf numFmtId="0" fontId="75" fillId="0" borderId="59" xfId="58" applyFont="1" applyBorder="1" applyAlignment="1">
      <alignment horizontal="left"/>
    </xf>
    <xf numFmtId="0" fontId="83" fillId="0" borderId="60" xfId="58" applyFont="1" applyBorder="1" applyAlignment="1">
      <alignment horizontal="left"/>
    </xf>
    <xf numFmtId="0" fontId="83" fillId="0" borderId="21" xfId="58" applyFont="1" applyBorder="1" applyAlignment="1">
      <alignment horizontal="center"/>
    </xf>
    <xf numFmtId="3" fontId="91" fillId="0" borderId="61" xfId="48" applyFont="1" applyBorder="1" applyAlignment="1">
      <alignment horizontal="center"/>
    </xf>
    <xf numFmtId="3" fontId="91" fillId="0" borderId="62" xfId="48" applyFont="1" applyBorder="1" applyAlignment="1">
      <alignment horizontal="center"/>
    </xf>
    <xf numFmtId="0" fontId="83" fillId="0" borderId="63" xfId="58" applyFont="1" applyBorder="1" applyAlignment="1">
      <alignment horizontal="center"/>
    </xf>
    <xf numFmtId="3" fontId="83" fillId="0" borderId="63" xfId="48" applyFont="1" applyBorder="1" applyAlignment="1">
      <alignment horizontal="center"/>
    </xf>
    <xf numFmtId="3" fontId="83" fillId="0" borderId="22" xfId="48" applyFont="1" applyBorder="1" applyAlignment="1">
      <alignment horizontal="center"/>
    </xf>
    <xf numFmtId="4" fontId="92" fillId="0" borderId="26" xfId="48" applyNumberFormat="1" applyFont="1" applyBorder="1" applyAlignment="1">
      <alignment horizontal="center"/>
    </xf>
    <xf numFmtId="0" fontId="83" fillId="0" borderId="61" xfId="58" applyFont="1" applyBorder="1" applyAlignment="1">
      <alignment horizontal="center"/>
    </xf>
    <xf numFmtId="0" fontId="4" fillId="0" borderId="63" xfId="59" applyBorder="1" applyAlignment="1">
      <alignment horizontal="center"/>
    </xf>
    <xf numFmtId="3" fontId="4" fillId="0" borderId="63" xfId="48" applyFont="1" applyBorder="1" applyAlignment="1">
      <alignment horizontal="center"/>
    </xf>
    <xf numFmtId="3" fontId="4" fillId="0" borderId="60" xfId="48" applyFont="1" applyBorder="1" applyAlignment="1">
      <alignment horizontal="center"/>
    </xf>
    <xf numFmtId="3" fontId="4" fillId="0" borderId="22" xfId="48" applyFont="1" applyBorder="1" applyAlignment="1">
      <alignment horizontal="center"/>
    </xf>
    <xf numFmtId="3" fontId="4" fillId="0" borderId="27" xfId="48" applyFont="1" applyBorder="1" applyAlignment="1">
      <alignment horizontal="center"/>
    </xf>
    <xf numFmtId="0" fontId="4" fillId="0" borderId="61" xfId="59" applyBorder="1" applyAlignment="1">
      <alignment horizontal="center"/>
    </xf>
    <xf numFmtId="3" fontId="4" fillId="0" borderId="61" xfId="48" applyFont="1" applyBorder="1" applyAlignment="1">
      <alignment horizontal="center"/>
    </xf>
    <xf numFmtId="0" fontId="83" fillId="0" borderId="0" xfId="58" applyFont="1"/>
    <xf numFmtId="0" fontId="82" fillId="0" borderId="0" xfId="58" applyFont="1"/>
    <xf numFmtId="0" fontId="83" fillId="0" borderId="23" xfId="58" applyFont="1" applyBorder="1" applyAlignment="1">
      <alignment horizontal="left"/>
    </xf>
    <xf numFmtId="0" fontId="83" fillId="0" borderId="0" xfId="58" applyFont="1" applyAlignment="1">
      <alignment horizontal="center"/>
    </xf>
    <xf numFmtId="3" fontId="91" fillId="0" borderId="28" xfId="48" applyFont="1" applyBorder="1" applyAlignment="1">
      <alignment horizontal="center"/>
    </xf>
    <xf numFmtId="0" fontId="83" fillId="0" borderId="64" xfId="58" applyFont="1" applyBorder="1" applyAlignment="1">
      <alignment horizontal="center"/>
    </xf>
    <xf numFmtId="3" fontId="83" fillId="0" borderId="60" xfId="48" applyFont="1" applyBorder="1" applyAlignment="1">
      <alignment horizontal="center"/>
    </xf>
    <xf numFmtId="3" fontId="83" fillId="0" borderId="23" xfId="48" applyFont="1" applyBorder="1" applyAlignment="1">
      <alignment horizontal="center"/>
    </xf>
    <xf numFmtId="3" fontId="83" fillId="0" borderId="26" xfId="48" applyFont="1" applyBorder="1" applyAlignment="1">
      <alignment horizontal="center"/>
    </xf>
    <xf numFmtId="3" fontId="83" fillId="0" borderId="61" xfId="48" applyFont="1" applyBorder="1" applyAlignment="1">
      <alignment horizontal="center"/>
    </xf>
    <xf numFmtId="3" fontId="83" fillId="0" borderId="62" xfId="48" applyFont="1" applyBorder="1" applyAlignment="1">
      <alignment horizontal="center"/>
    </xf>
    <xf numFmtId="3" fontId="83" fillId="0" borderId="28" xfId="48" applyFont="1" applyBorder="1" applyAlignment="1">
      <alignment horizontal="center"/>
    </xf>
    <xf numFmtId="3" fontId="0" fillId="0" borderId="0" xfId="72" applyFont="1" applyFill="1" applyBorder="1" applyAlignment="1" applyProtection="1"/>
    <xf numFmtId="0" fontId="38" fillId="0" borderId="0" xfId="0" applyFont="1" applyAlignment="1">
      <alignment horizontal="left"/>
    </xf>
    <xf numFmtId="0" fontId="0" fillId="0" borderId="0" xfId="0" applyAlignment="1">
      <alignment vertical="top" wrapText="1"/>
    </xf>
    <xf numFmtId="4" fontId="20" fillId="0" borderId="0" xfId="10" applyNumberFormat="1" applyFont="1" applyFill="1" applyBorder="1" applyAlignment="1"/>
    <xf numFmtId="0" fontId="0" fillId="0" borderId="59" xfId="0" applyBorder="1" applyAlignment="1">
      <alignment horizontal="left"/>
    </xf>
    <xf numFmtId="4" fontId="34" fillId="0" borderId="59" xfId="74" applyFont="1" applyFill="1" applyBorder="1" applyAlignment="1" applyProtection="1">
      <alignment horizontal="left"/>
    </xf>
    <xf numFmtId="3" fontId="66" fillId="10" borderId="41" xfId="0" applyNumberFormat="1" applyFont="1" applyFill="1" applyBorder="1"/>
    <xf numFmtId="0" fontId="2" fillId="0" borderId="0" xfId="0" applyFont="1" applyAlignment="1">
      <alignment horizontal="center" wrapText="1"/>
    </xf>
    <xf numFmtId="0" fontId="0" fillId="0" borderId="0" xfId="0" applyAlignment="1">
      <alignment horizontal="left"/>
    </xf>
    <xf numFmtId="0" fontId="5" fillId="0" borderId="0" xfId="0" applyFont="1"/>
    <xf numFmtId="0" fontId="94" fillId="0" borderId="0" xfId="0" quotePrefix="1" applyFont="1"/>
    <xf numFmtId="0" fontId="2" fillId="0" borderId="0" xfId="0" applyFont="1"/>
    <xf numFmtId="0" fontId="66" fillId="0" borderId="0" xfId="0" applyFont="1"/>
    <xf numFmtId="2" fontId="4" fillId="0" borderId="0" xfId="59" applyNumberFormat="1"/>
    <xf numFmtId="0" fontId="98" fillId="0" borderId="0" xfId="44" applyFont="1"/>
    <xf numFmtId="0" fontId="99" fillId="0" borderId="0" xfId="44" applyFont="1"/>
    <xf numFmtId="0" fontId="38" fillId="0" borderId="0" xfId="59" applyFont="1"/>
    <xf numFmtId="3" fontId="66" fillId="10" borderId="36" xfId="0" applyNumberFormat="1" applyFont="1" applyFill="1" applyBorder="1"/>
    <xf numFmtId="3" fontId="86" fillId="10" borderId="34" xfId="45" applyNumberFormat="1" applyFont="1" applyFill="1" applyBorder="1" applyAlignment="1">
      <alignment horizontal="left"/>
    </xf>
    <xf numFmtId="3" fontId="86" fillId="10" borderId="40" xfId="45" applyNumberFormat="1" applyFont="1" applyFill="1" applyBorder="1" applyAlignment="1">
      <alignment horizontal="left"/>
    </xf>
    <xf numFmtId="0" fontId="6" fillId="0" borderId="0" xfId="0" applyFont="1"/>
    <xf numFmtId="3" fontId="0" fillId="7" borderId="0" xfId="15" applyFont="1" applyFill="1" applyBorder="1" applyAlignment="1" applyProtection="1"/>
    <xf numFmtId="3" fontId="2" fillId="7" borderId="0" xfId="15" applyFont="1" applyFill="1" applyBorder="1" applyAlignment="1" applyProtection="1">
      <alignment horizontal="left"/>
    </xf>
    <xf numFmtId="3" fontId="27" fillId="7" borderId="0" xfId="15" applyFont="1" applyFill="1" applyBorder="1" applyAlignment="1" applyProtection="1"/>
    <xf numFmtId="3" fontId="20" fillId="7" borderId="0" xfId="15" applyFont="1" applyFill="1" applyBorder="1" applyAlignment="1" applyProtection="1"/>
    <xf numFmtId="3" fontId="6" fillId="7" borderId="0" xfId="7" applyNumberFormat="1" applyFill="1" applyBorder="1" applyAlignment="1" applyProtection="1"/>
    <xf numFmtId="3" fontId="48" fillId="7" borderId="0" xfId="15" applyFont="1" applyFill="1" applyBorder="1" applyAlignment="1" applyProtection="1"/>
    <xf numFmtId="3" fontId="16" fillId="7" borderId="0" xfId="15" applyFont="1" applyFill="1" applyBorder="1" applyAlignment="1" applyProtection="1">
      <alignment horizontal="right"/>
    </xf>
    <xf numFmtId="3" fontId="34" fillId="33" borderId="1" xfId="0" applyNumberFormat="1" applyFont="1" applyFill="1" applyBorder="1" applyProtection="1">
      <protection locked="0"/>
    </xf>
    <xf numFmtId="3" fontId="21" fillId="33" borderId="10" xfId="11" applyFont="1" applyFill="1" applyBorder="1" applyAlignment="1" applyProtection="1">
      <protection locked="0"/>
    </xf>
    <xf numFmtId="0" fontId="34" fillId="33" borderId="1" xfId="0" applyFont="1" applyFill="1" applyBorder="1" applyProtection="1">
      <protection locked="0"/>
    </xf>
    <xf numFmtId="3" fontId="34" fillId="33" borderId="1" xfId="1" applyNumberFormat="1" applyFont="1" applyFill="1" applyBorder="1" applyAlignment="1" applyProtection="1">
      <protection locked="0"/>
    </xf>
    <xf numFmtId="3" fontId="34" fillId="33" borderId="11" xfId="1" applyNumberFormat="1" applyFont="1" applyFill="1" applyBorder="1" applyAlignment="1" applyProtection="1">
      <protection locked="0"/>
    </xf>
    <xf numFmtId="0" fontId="34" fillId="33" borderId="13" xfId="0" applyFont="1" applyFill="1" applyBorder="1" applyProtection="1">
      <protection locked="0"/>
    </xf>
    <xf numFmtId="175" fontId="34" fillId="33" borderId="1" xfId="0" applyNumberFormat="1" applyFont="1" applyFill="1" applyBorder="1" applyProtection="1">
      <protection locked="0"/>
    </xf>
    <xf numFmtId="10" fontId="34" fillId="33" borderId="1" xfId="0" applyNumberFormat="1" applyFont="1" applyFill="1" applyBorder="1" applyProtection="1">
      <protection locked="0"/>
    </xf>
    <xf numFmtId="0" fontId="34" fillId="33" borderId="1" xfId="0" applyFont="1" applyFill="1" applyBorder="1" applyAlignment="1" applyProtection="1">
      <alignment horizontal="center"/>
      <protection locked="0"/>
    </xf>
    <xf numFmtId="3" fontId="34" fillId="33" borderId="1" xfId="1" applyNumberFormat="1" applyFont="1" applyFill="1" applyBorder="1" applyAlignment="1" applyProtection="1">
      <alignment horizontal="right"/>
      <protection locked="0"/>
    </xf>
    <xf numFmtId="9" fontId="34" fillId="33" borderId="1" xfId="0" applyNumberFormat="1" applyFont="1" applyFill="1" applyBorder="1" applyProtection="1">
      <protection locked="0"/>
    </xf>
    <xf numFmtId="3" fontId="34" fillId="33" borderId="2" xfId="1" applyNumberFormat="1" applyFont="1" applyFill="1" applyBorder="1" applyAlignment="1" applyProtection="1">
      <alignment horizontal="right"/>
      <protection locked="0"/>
    </xf>
    <xf numFmtId="0" fontId="34" fillId="33" borderId="1" xfId="0" applyFont="1" applyFill="1" applyBorder="1" applyAlignment="1" applyProtection="1">
      <alignment horizontal="center" wrapText="1"/>
      <protection locked="0"/>
    </xf>
    <xf numFmtId="3" fontId="34" fillId="33" borderId="1" xfId="1" applyNumberFormat="1" applyFont="1" applyFill="1" applyBorder="1" applyAlignment="1" applyProtection="1">
      <alignment horizontal="center"/>
      <protection locked="0"/>
    </xf>
    <xf numFmtId="3" fontId="34" fillId="33" borderId="11" xfId="1" applyNumberFormat="1" applyFont="1" applyFill="1" applyBorder="1" applyAlignment="1" applyProtection="1">
      <alignment horizontal="center"/>
      <protection locked="0"/>
    </xf>
    <xf numFmtId="3" fontId="35" fillId="7" borderId="0" xfId="15" applyFont="1" applyFill="1" applyBorder="1" applyAlignment="1" applyProtection="1"/>
    <xf numFmtId="0" fontId="73" fillId="20" borderId="0" xfId="0" applyFont="1" applyFill="1" applyAlignment="1">
      <alignment horizontal="center"/>
    </xf>
    <xf numFmtId="0" fontId="62" fillId="0" borderId="0" xfId="21" applyFont="1"/>
    <xf numFmtId="0" fontId="39" fillId="0" borderId="0" xfId="21" applyFont="1" applyAlignment="1">
      <alignment horizontal="center"/>
    </xf>
    <xf numFmtId="3" fontId="0" fillId="7" borderId="0" xfId="0" applyNumberFormat="1" applyFill="1" applyAlignment="1">
      <alignment horizontal="center"/>
    </xf>
    <xf numFmtId="0" fontId="0" fillId="7" borderId="0" xfId="21" applyFont="1" applyFill="1"/>
    <xf numFmtId="0" fontId="30" fillId="7" borderId="0" xfId="21" applyFont="1" applyFill="1" applyAlignment="1">
      <alignment horizontal="right"/>
    </xf>
    <xf numFmtId="0" fontId="30" fillId="7" borderId="0" xfId="21" applyFont="1" applyFill="1"/>
    <xf numFmtId="4" fontId="41" fillId="7" borderId="0" xfId="21" applyNumberFormat="1" applyFont="1" applyFill="1"/>
    <xf numFmtId="0" fontId="0" fillId="7" borderId="0" xfId="21" applyFont="1" applyFill="1" applyAlignment="1">
      <alignment horizontal="right"/>
    </xf>
    <xf numFmtId="3" fontId="20" fillId="7" borderId="0" xfId="21" applyNumberFormat="1" applyFont="1" applyFill="1"/>
    <xf numFmtId="0" fontId="13" fillId="7" borderId="0" xfId="21" applyFont="1" applyFill="1"/>
    <xf numFmtId="0" fontId="27" fillId="7" borderId="0" xfId="21" applyFont="1" applyFill="1"/>
    <xf numFmtId="4" fontId="30" fillId="17" borderId="0" xfId="0" applyNumberFormat="1" applyFont="1" applyFill="1"/>
    <xf numFmtId="0" fontId="0" fillId="17" borderId="0" xfId="0" applyFill="1"/>
    <xf numFmtId="0" fontId="0" fillId="17" borderId="0" xfId="21" applyFont="1" applyFill="1"/>
    <xf numFmtId="3" fontId="43" fillId="17" borderId="0" xfId="0" applyNumberFormat="1" applyFont="1" applyFill="1"/>
    <xf numFmtId="0" fontId="16" fillId="7" borderId="0" xfId="21" applyFont="1" applyFill="1" applyAlignment="1">
      <alignment horizontal="center"/>
    </xf>
    <xf numFmtId="3" fontId="40" fillId="7" borderId="0" xfId="21" applyNumberFormat="1" applyFont="1" applyFill="1"/>
    <xf numFmtId="0" fontId="0" fillId="7" borderId="57" xfId="21" applyFont="1" applyFill="1" applyBorder="1"/>
    <xf numFmtId="0" fontId="4" fillId="7" borderId="0" xfId="21" applyFont="1" applyFill="1"/>
    <xf numFmtId="3" fontId="44" fillId="7" borderId="0" xfId="21" applyNumberFormat="1" applyFont="1" applyFill="1"/>
    <xf numFmtId="0" fontId="30" fillId="7" borderId="0" xfId="0" applyFont="1" applyFill="1" applyAlignment="1">
      <alignment horizontal="right"/>
    </xf>
    <xf numFmtId="0" fontId="0" fillId="16" borderId="0" xfId="21" applyFont="1" applyFill="1"/>
    <xf numFmtId="0" fontId="66" fillId="9" borderId="0" xfId="21" applyFont="1" applyFill="1"/>
    <xf numFmtId="0" fontId="4" fillId="7" borderId="0" xfId="21" applyFont="1" applyFill="1" applyAlignment="1">
      <alignment horizontal="right"/>
    </xf>
    <xf numFmtId="0" fontId="45" fillId="7" borderId="0" xfId="21" applyFont="1" applyFill="1"/>
    <xf numFmtId="2" fontId="0" fillId="7" borderId="0" xfId="21" applyNumberFormat="1" applyFont="1" applyFill="1"/>
    <xf numFmtId="3" fontId="31" fillId="7" borderId="0" xfId="21" applyNumberFormat="1" applyFont="1" applyFill="1"/>
    <xf numFmtId="0" fontId="30" fillId="7" borderId="8" xfId="21" applyFont="1" applyFill="1" applyBorder="1" applyAlignment="1">
      <alignment horizontal="center" vertical="center"/>
    </xf>
    <xf numFmtId="0" fontId="0" fillId="27" borderId="0" xfId="21" applyFont="1" applyFill="1"/>
    <xf numFmtId="3" fontId="49" fillId="7" borderId="0" xfId="15" applyFont="1" applyFill="1" applyBorder="1" applyAlignment="1" applyProtection="1"/>
    <xf numFmtId="3" fontId="0" fillId="7" borderId="0" xfId="21" applyNumberFormat="1" applyFont="1" applyFill="1"/>
    <xf numFmtId="3" fontId="13" fillId="7" borderId="0" xfId="21" applyNumberFormat="1" applyFont="1" applyFill="1"/>
    <xf numFmtId="3" fontId="16" fillId="7" borderId="0" xfId="21" applyNumberFormat="1" applyFont="1" applyFill="1"/>
    <xf numFmtId="3" fontId="16" fillId="14" borderId="0" xfId="21" applyNumberFormat="1" applyFont="1" applyFill="1"/>
    <xf numFmtId="3" fontId="27" fillId="14" borderId="0" xfId="21" applyNumberFormat="1" applyFont="1" applyFill="1"/>
    <xf numFmtId="3" fontId="0" fillId="14" borderId="0" xfId="21" applyNumberFormat="1" applyFont="1" applyFill="1"/>
    <xf numFmtId="0" fontId="71" fillId="10" borderId="0" xfId="21" applyFont="1" applyFill="1"/>
    <xf numFmtId="3" fontId="71" fillId="10" borderId="0" xfId="21" applyNumberFormat="1" applyFont="1" applyFill="1"/>
    <xf numFmtId="0" fontId="27" fillId="0" borderId="0" xfId="21" applyFont="1"/>
    <xf numFmtId="3" fontId="27" fillId="0" borderId="0" xfId="21" applyNumberFormat="1" applyFont="1"/>
    <xf numFmtId="0" fontId="0" fillId="12" borderId="0" xfId="21" applyFont="1" applyFill="1"/>
    <xf numFmtId="0" fontId="30" fillId="34" borderId="8" xfId="21" applyFont="1" applyFill="1" applyBorder="1" applyAlignment="1">
      <alignment horizontal="center" vertical="center"/>
    </xf>
    <xf numFmtId="0" fontId="47" fillId="7" borderId="0" xfId="21" applyFont="1" applyFill="1"/>
    <xf numFmtId="0" fontId="42" fillId="7" borderId="0" xfId="21" applyFont="1" applyFill="1" applyAlignment="1">
      <alignment horizontal="right"/>
    </xf>
    <xf numFmtId="3" fontId="27" fillId="10" borderId="0" xfId="21" applyNumberFormat="1" applyFont="1" applyFill="1"/>
    <xf numFmtId="3" fontId="0" fillId="10" borderId="0" xfId="21" applyNumberFormat="1" applyFont="1" applyFill="1"/>
    <xf numFmtId="0" fontId="0" fillId="10" borderId="0" xfId="21" applyFont="1" applyFill="1"/>
    <xf numFmtId="3" fontId="41" fillId="10" borderId="0" xfId="21" applyNumberFormat="1" applyFont="1" applyFill="1"/>
    <xf numFmtId="3" fontId="13" fillId="11" borderId="5" xfId="0" applyNumberFormat="1" applyFont="1" applyFill="1" applyBorder="1"/>
    <xf numFmtId="3" fontId="13" fillId="11" borderId="20" xfId="0" applyNumberFormat="1" applyFont="1" applyFill="1" applyBorder="1"/>
    <xf numFmtId="2" fontId="68" fillId="10" borderId="0" xfId="0" applyNumberFormat="1" applyFont="1" applyFill="1"/>
    <xf numFmtId="174" fontId="34" fillId="33" borderId="1" xfId="0" applyNumberFormat="1" applyFont="1" applyFill="1" applyBorder="1" applyAlignment="1" applyProtection="1">
      <alignment horizontal="center"/>
      <protection locked="0"/>
    </xf>
    <xf numFmtId="9" fontId="34" fillId="33" borderId="1" xfId="23" applyFont="1" applyFill="1" applyBorder="1" applyAlignment="1" applyProtection="1">
      <alignment horizontal="center"/>
      <protection locked="0"/>
    </xf>
    <xf numFmtId="0" fontId="57" fillId="33" borderId="1" xfId="0" applyFont="1" applyFill="1" applyBorder="1" applyAlignment="1" applyProtection="1">
      <alignment horizontal="center"/>
      <protection locked="0"/>
    </xf>
    <xf numFmtId="0" fontId="0" fillId="33" borderId="0" xfId="0" applyFill="1" applyProtection="1">
      <protection locked="0"/>
    </xf>
    <xf numFmtId="181" fontId="90" fillId="0" borderId="0" xfId="174" applyNumberFormat="1" applyFont="1" applyFill="1" applyProtection="1"/>
    <xf numFmtId="1" fontId="90" fillId="0" borderId="0" xfId="26" applyNumberFormat="1" applyFont="1" applyFill="1" applyProtection="1"/>
    <xf numFmtId="0" fontId="0" fillId="0" borderId="23" xfId="0" applyBorder="1"/>
    <xf numFmtId="0" fontId="0" fillId="0" borderId="23" xfId="0" applyBorder="1" applyAlignment="1">
      <alignment vertical="top" wrapText="1"/>
    </xf>
    <xf numFmtId="0" fontId="101" fillId="33" borderId="1" xfId="10" applyNumberFormat="1" applyFont="1" applyFill="1" applyBorder="1" applyAlignment="1" applyProtection="1">
      <alignment horizontal="right"/>
      <protection locked="0"/>
    </xf>
    <xf numFmtId="3" fontId="2" fillId="7" borderId="0" xfId="15" applyFont="1" applyFill="1" applyBorder="1" applyAlignment="1" applyProtection="1">
      <alignment horizontal="left" wrapText="1"/>
    </xf>
    <xf numFmtId="3" fontId="16" fillId="7" borderId="0" xfId="15" applyFont="1" applyFill="1" applyBorder="1" applyAlignment="1" applyProtection="1"/>
    <xf numFmtId="0" fontId="101" fillId="36" borderId="1" xfId="17" applyNumberFormat="1" applyFont="1" applyFill="1" applyBorder="1" applyAlignment="1" applyProtection="1">
      <alignment horizontal="right"/>
      <protection locked="0"/>
    </xf>
    <xf numFmtId="0" fontId="107" fillId="0" borderId="0" xfId="0" applyFont="1"/>
    <xf numFmtId="0" fontId="108" fillId="0" borderId="0" xfId="0" applyFont="1" applyAlignment="1">
      <alignment vertical="center"/>
    </xf>
    <xf numFmtId="3" fontId="3" fillId="33" borderId="46" xfId="0" applyNumberFormat="1" applyFont="1" applyFill="1" applyBorder="1" applyAlignment="1" applyProtection="1">
      <alignment horizontal="center"/>
      <protection locked="0"/>
    </xf>
    <xf numFmtId="0" fontId="0" fillId="37" borderId="0" xfId="0" applyFill="1"/>
    <xf numFmtId="0" fontId="0" fillId="0" borderId="65" xfId="0" applyBorder="1" applyAlignment="1">
      <alignment horizontal="center"/>
    </xf>
    <xf numFmtId="0" fontId="0" fillId="0" borderId="82" xfId="0" applyBorder="1" applyAlignment="1">
      <alignment horizontal="center"/>
    </xf>
    <xf numFmtId="14" fontId="0" fillId="38" borderId="82" xfId="0" applyNumberFormat="1" applyFill="1" applyBorder="1" applyAlignment="1" applyProtection="1">
      <alignment horizontal="center"/>
      <protection locked="0"/>
    </xf>
    <xf numFmtId="0" fontId="0" fillId="38" borderId="82" xfId="0" applyFill="1" applyBorder="1" applyAlignment="1" applyProtection="1">
      <alignment horizontal="center"/>
      <protection locked="0"/>
    </xf>
    <xf numFmtId="0" fontId="112" fillId="0" borderId="82" xfId="0" applyFont="1" applyBorder="1" applyAlignment="1">
      <alignment horizontal="center"/>
    </xf>
    <xf numFmtId="0" fontId="112" fillId="0" borderId="25" xfId="0" applyFont="1" applyBorder="1" applyAlignment="1">
      <alignment horizontal="center"/>
    </xf>
    <xf numFmtId="0" fontId="112" fillId="0" borderId="28" xfId="0" applyFont="1" applyBorder="1" applyAlignment="1">
      <alignment horizontal="center"/>
    </xf>
    <xf numFmtId="0" fontId="101" fillId="7" borderId="1" xfId="10" applyNumberFormat="1" applyFont="1" applyFill="1" applyBorder="1" applyAlignment="1">
      <alignment horizontal="right"/>
    </xf>
    <xf numFmtId="0" fontId="101" fillId="33" borderId="71" xfId="10" applyNumberFormat="1" applyFont="1" applyFill="1" applyBorder="1" applyAlignment="1" applyProtection="1">
      <alignment horizontal="right"/>
      <protection locked="0"/>
    </xf>
    <xf numFmtId="0" fontId="101" fillId="33" borderId="71" xfId="0" applyFont="1" applyFill="1" applyBorder="1" applyAlignment="1" applyProtection="1">
      <alignment horizontal="right"/>
      <protection locked="0"/>
    </xf>
    <xf numFmtId="0" fontId="101" fillId="7" borderId="71" xfId="10" applyNumberFormat="1" applyFont="1" applyFill="1" applyBorder="1" applyAlignment="1">
      <alignment horizontal="right"/>
    </xf>
    <xf numFmtId="0" fontId="101" fillId="7" borderId="71" xfId="0" applyFont="1" applyFill="1" applyBorder="1" applyAlignment="1">
      <alignment horizontal="right"/>
    </xf>
    <xf numFmtId="0" fontId="101" fillId="7" borderId="1" xfId="0" applyFont="1" applyFill="1" applyBorder="1" applyAlignment="1">
      <alignment horizontal="right"/>
    </xf>
    <xf numFmtId="0" fontId="103" fillId="33" borderId="1" xfId="0" applyFont="1" applyFill="1" applyBorder="1" applyAlignment="1" applyProtection="1">
      <alignment horizontal="right"/>
      <protection locked="0"/>
    </xf>
    <xf numFmtId="0" fontId="101" fillId="25" borderId="71" xfId="10" applyNumberFormat="1" applyFont="1" applyFill="1" applyBorder="1" applyAlignment="1">
      <alignment horizontal="right"/>
    </xf>
    <xf numFmtId="0" fontId="101" fillId="25" borderId="1" xfId="10" applyNumberFormat="1" applyFont="1" applyFill="1" applyBorder="1" applyAlignment="1">
      <alignment horizontal="right"/>
    </xf>
    <xf numFmtId="0" fontId="101" fillId="35" borderId="1" xfId="17" applyNumberFormat="1" applyFont="1" applyFill="1" applyBorder="1" applyAlignment="1" applyProtection="1">
      <alignment horizontal="right"/>
      <protection locked="0"/>
    </xf>
    <xf numFmtId="0" fontId="101" fillId="33" borderId="80" xfId="0" applyFont="1" applyFill="1" applyBorder="1" applyAlignment="1" applyProtection="1">
      <alignment horizontal="right"/>
      <protection locked="0"/>
    </xf>
    <xf numFmtId="0" fontId="101" fillId="33" borderId="44" xfId="0" applyFont="1" applyFill="1" applyBorder="1" applyAlignment="1" applyProtection="1">
      <alignment horizontal="right"/>
      <protection locked="0"/>
    </xf>
    <xf numFmtId="0" fontId="101" fillId="33" borderId="45" xfId="0" applyFont="1" applyFill="1" applyBorder="1" applyAlignment="1" applyProtection="1">
      <alignment horizontal="right"/>
      <protection locked="0"/>
    </xf>
    <xf numFmtId="3" fontId="100" fillId="0" borderId="0" xfId="15" applyFont="1" applyFill="1" applyBorder="1" applyAlignment="1" applyProtection="1"/>
    <xf numFmtId="3" fontId="0" fillId="11" borderId="50" xfId="15" applyFont="1" applyFill="1" applyBorder="1" applyAlignment="1" applyProtection="1"/>
    <xf numFmtId="3" fontId="27" fillId="0" borderId="0" xfId="0" applyNumberFormat="1" applyFont="1"/>
    <xf numFmtId="3" fontId="66" fillId="0" borderId="0" xfId="0" applyNumberFormat="1" applyFont="1"/>
    <xf numFmtId="3" fontId="70" fillId="0" borderId="0" xfId="15" applyFont="1" applyFill="1" applyBorder="1" applyAlignment="1" applyProtection="1">
      <alignment horizontal="right"/>
    </xf>
    <xf numFmtId="3" fontId="66" fillId="0" borderId="0" xfId="1" applyNumberFormat="1" applyFont="1" applyFill="1" applyBorder="1" applyAlignment="1" applyProtection="1"/>
    <xf numFmtId="3" fontId="68" fillId="0" borderId="0" xfId="15" applyFont="1" applyFill="1" applyBorder="1" applyAlignment="1" applyProtection="1"/>
    <xf numFmtId="3" fontId="0" fillId="0" borderId="0" xfId="0" applyNumberFormat="1"/>
    <xf numFmtId="3" fontId="51" fillId="11" borderId="50" xfId="15" applyFont="1" applyFill="1" applyBorder="1" applyAlignment="1" applyProtection="1"/>
    <xf numFmtId="3" fontId="0" fillId="11" borderId="50" xfId="15" applyFont="1" applyFill="1" applyBorder="1" applyAlignment="1" applyProtection="1">
      <alignment horizontal="center" vertical="top" wrapText="1"/>
    </xf>
    <xf numFmtId="3" fontId="3" fillId="11" borderId="50" xfId="15" applyFont="1" applyFill="1" applyBorder="1" applyAlignment="1" applyProtection="1"/>
    <xf numFmtId="0" fontId="72" fillId="20" borderId="51" xfId="14" applyNumberFormat="1" applyFont="1" applyFill="1" applyBorder="1" applyAlignment="1" applyProtection="1">
      <alignment horizontal="center"/>
    </xf>
    <xf numFmtId="0" fontId="0" fillId="7" borderId="83" xfId="0" applyFill="1" applyBorder="1"/>
    <xf numFmtId="0" fontId="0" fillId="6" borderId="0" xfId="0" applyFill="1"/>
    <xf numFmtId="3" fontId="4" fillId="0" borderId="63" xfId="15" applyFont="1" applyBorder="1" applyAlignment="1">
      <alignment horizontal="center"/>
    </xf>
    <xf numFmtId="3" fontId="4" fillId="0" borderId="61" xfId="15" applyFont="1" applyBorder="1" applyAlignment="1">
      <alignment horizontal="center"/>
    </xf>
    <xf numFmtId="0" fontId="99" fillId="0" borderId="63" xfId="44" applyFont="1" applyBorder="1" applyAlignment="1">
      <alignment horizontal="center"/>
    </xf>
    <xf numFmtId="3" fontId="99" fillId="0" borderId="63" xfId="15" applyFont="1" applyBorder="1" applyAlignment="1">
      <alignment horizontal="center"/>
    </xf>
    <xf numFmtId="3" fontId="99" fillId="0" borderId="22" xfId="15" applyFont="1" applyBorder="1" applyAlignment="1">
      <alignment horizontal="center"/>
    </xf>
    <xf numFmtId="4" fontId="117" fillId="0" borderId="26" xfId="15" applyNumberFormat="1" applyFont="1" applyBorder="1" applyAlignment="1">
      <alignment horizontal="center"/>
    </xf>
    <xf numFmtId="0" fontId="95" fillId="0" borderId="0" xfId="45" applyFont="1" applyAlignment="1">
      <alignment wrapText="1"/>
    </xf>
    <xf numFmtId="0" fontId="75" fillId="0" borderId="0" xfId="45" applyAlignment="1">
      <alignment horizontal="center" wrapText="1"/>
    </xf>
    <xf numFmtId="0" fontId="87" fillId="0" borderId="0" xfId="45" applyFont="1"/>
    <xf numFmtId="0" fontId="101" fillId="33" borderId="44" xfId="0" applyFont="1" applyFill="1" applyBorder="1" applyAlignment="1" applyProtection="1">
      <alignment horizontal="right" wrapText="1"/>
      <protection locked="0"/>
    </xf>
    <xf numFmtId="3" fontId="16" fillId="11" borderId="50" xfId="15" applyFont="1" applyFill="1" applyBorder="1" applyAlignment="1" applyProtection="1"/>
    <xf numFmtId="0" fontId="123" fillId="0" borderId="0" xfId="0" applyFont="1"/>
    <xf numFmtId="0" fontId="72" fillId="11" borderId="51" xfId="14" applyFont="1" applyFill="1" applyBorder="1" applyAlignment="1">
      <alignment horizontal="center"/>
    </xf>
    <xf numFmtId="3" fontId="27" fillId="3" borderId="0" xfId="0" applyNumberFormat="1" applyFont="1" applyFill="1"/>
    <xf numFmtId="3" fontId="19" fillId="11" borderId="0" xfId="0" applyNumberFormat="1" applyFont="1" applyFill="1"/>
    <xf numFmtId="3" fontId="13" fillId="11" borderId="0" xfId="0" applyNumberFormat="1" applyFont="1" applyFill="1"/>
    <xf numFmtId="0" fontId="70" fillId="0" borderId="0" xfId="0" applyFont="1"/>
    <xf numFmtId="3" fontId="102" fillId="3" borderId="0" xfId="0" applyNumberFormat="1" applyFont="1" applyFill="1"/>
    <xf numFmtId="3" fontId="124" fillId="3" borderId="0" xfId="0" applyNumberFormat="1" applyFont="1" applyFill="1"/>
    <xf numFmtId="3" fontId="116" fillId="0" borderId="0" xfId="15" applyFont="1" applyFill="1" applyBorder="1" applyAlignment="1" applyProtection="1"/>
    <xf numFmtId="3" fontId="13" fillId="11" borderId="0" xfId="15" applyFont="1" applyFill="1" applyBorder="1" applyAlignment="1" applyProtection="1"/>
    <xf numFmtId="0" fontId="11" fillId="0" borderId="0" xfId="112"/>
    <xf numFmtId="3" fontId="29" fillId="11" borderId="50" xfId="15" applyFont="1" applyFill="1" applyBorder="1" applyAlignment="1" applyProtection="1">
      <alignment horizontal="center"/>
    </xf>
    <xf numFmtId="0" fontId="102" fillId="0" borderId="0" xfId="0" applyFont="1"/>
    <xf numFmtId="3" fontId="66" fillId="0" borderId="0" xfId="15" applyFont="1" applyFill="1" applyBorder="1" applyAlignment="1" applyProtection="1"/>
    <xf numFmtId="3" fontId="126" fillId="3" borderId="0" xfId="0" applyNumberFormat="1" applyFont="1" applyFill="1"/>
    <xf numFmtId="0" fontId="0" fillId="7" borderId="87" xfId="0" applyFill="1" applyBorder="1"/>
    <xf numFmtId="0" fontId="102" fillId="6" borderId="0" xfId="0" applyFont="1" applyFill="1"/>
    <xf numFmtId="2" fontId="66" fillId="0" borderId="0" xfId="0" applyNumberFormat="1" applyFont="1" applyAlignment="1">
      <alignment horizontal="center"/>
    </xf>
    <xf numFmtId="0" fontId="66" fillId="0" borderId="0" xfId="0" applyFont="1" applyAlignment="1">
      <alignment horizontal="center"/>
    </xf>
    <xf numFmtId="3" fontId="13" fillId="11" borderId="99" xfId="0" applyNumberFormat="1" applyFont="1" applyFill="1" applyBorder="1"/>
    <xf numFmtId="3" fontId="130" fillId="11" borderId="99" xfId="0" applyNumberFormat="1" applyFont="1" applyFill="1" applyBorder="1"/>
    <xf numFmtId="0" fontId="2" fillId="0" borderId="0" xfId="0" applyFont="1" applyAlignment="1">
      <alignment horizontal="left"/>
    </xf>
    <xf numFmtId="0" fontId="22" fillId="0" borderId="50" xfId="0" applyFont="1" applyBorder="1"/>
    <xf numFmtId="0" fontId="0" fillId="6" borderId="23" xfId="0" applyFill="1" applyBorder="1"/>
    <xf numFmtId="0" fontId="114" fillId="0" borderId="0" xfId="45" applyFont="1"/>
    <xf numFmtId="4" fontId="34" fillId="7" borderId="59" xfId="74" applyFont="1" applyFill="1" applyBorder="1" applyAlignment="1" applyProtection="1">
      <alignment horizontal="left"/>
    </xf>
    <xf numFmtId="0" fontId="0" fillId="7" borderId="0" xfId="0" applyFill="1" applyAlignment="1">
      <alignment horizontal="left"/>
    </xf>
    <xf numFmtId="0" fontId="0" fillId="7" borderId="59" xfId="0" applyFill="1" applyBorder="1" applyAlignment="1">
      <alignment horizontal="left"/>
    </xf>
    <xf numFmtId="0" fontId="0" fillId="7" borderId="59" xfId="0" applyFill="1" applyBorder="1" applyAlignment="1">
      <alignment horizontal="left" vertical="top"/>
    </xf>
    <xf numFmtId="0" fontId="0" fillId="6" borderId="0" xfId="0" applyFill="1" applyAlignment="1">
      <alignment horizontal="left"/>
    </xf>
    <xf numFmtId="0" fontId="4" fillId="6" borderId="0" xfId="0" applyFont="1" applyFill="1" applyAlignment="1">
      <alignment horizontal="center"/>
    </xf>
    <xf numFmtId="0" fontId="4" fillId="6" borderId="0" xfId="0" applyFont="1" applyFill="1" applyAlignment="1">
      <alignment horizontal="left" wrapText="1"/>
    </xf>
    <xf numFmtId="10" fontId="79" fillId="0" borderId="0" xfId="45" applyNumberFormat="1" applyFont="1"/>
    <xf numFmtId="0" fontId="3" fillId="0" borderId="23" xfId="0" applyFont="1" applyBorder="1"/>
    <xf numFmtId="3" fontId="131" fillId="33" borderId="1" xfId="0" applyNumberFormat="1" applyFont="1" applyFill="1" applyBorder="1" applyProtection="1">
      <protection locked="0"/>
    </xf>
    <xf numFmtId="3" fontId="131" fillId="33" borderId="1" xfId="1" applyNumberFormat="1" applyFont="1" applyFill="1" applyBorder="1" applyAlignment="1" applyProtection="1">
      <protection locked="0"/>
    </xf>
    <xf numFmtId="0" fontId="132" fillId="11" borderId="93" xfId="0" applyFont="1" applyFill="1" applyBorder="1"/>
    <xf numFmtId="0" fontId="132" fillId="11" borderId="94" xfId="0" applyFont="1" applyFill="1" applyBorder="1"/>
    <xf numFmtId="0" fontId="4" fillId="0" borderId="0" xfId="0" applyFont="1"/>
    <xf numFmtId="10" fontId="4" fillId="33" borderId="93" xfId="0" applyNumberFormat="1" applyFont="1" applyFill="1" applyBorder="1" applyProtection="1">
      <protection locked="0"/>
    </xf>
    <xf numFmtId="3" fontId="4" fillId="0" borderId="94" xfId="1" applyNumberFormat="1" applyFont="1" applyBorder="1" applyProtection="1"/>
    <xf numFmtId="10" fontId="4" fillId="33" borderId="95" xfId="0" applyNumberFormat="1" applyFont="1" applyFill="1" applyBorder="1" applyProtection="1">
      <protection locked="0"/>
    </xf>
    <xf numFmtId="3" fontId="4" fillId="0" borderId="96" xfId="1" applyNumberFormat="1" applyFont="1" applyBorder="1" applyProtection="1"/>
    <xf numFmtId="10" fontId="4" fillId="33" borderId="97" xfId="0" applyNumberFormat="1" applyFont="1" applyFill="1" applyBorder="1" applyProtection="1">
      <protection locked="0"/>
    </xf>
    <xf numFmtId="3" fontId="4" fillId="0" borderId="98" xfId="1" applyNumberFormat="1" applyFont="1" applyBorder="1" applyProtection="1"/>
    <xf numFmtId="0" fontId="38" fillId="0" borderId="0" xfId="0" applyFont="1" applyAlignment="1">
      <alignment horizontal="center"/>
    </xf>
    <xf numFmtId="10" fontId="133" fillId="7" borderId="97" xfId="0" applyNumberFormat="1" applyFont="1" applyFill="1" applyBorder="1"/>
    <xf numFmtId="3" fontId="4" fillId="7" borderId="98" xfId="1" applyNumberFormat="1" applyFont="1" applyFill="1" applyBorder="1" applyProtection="1"/>
    <xf numFmtId="3" fontId="131" fillId="33" borderId="7" xfId="0" applyNumberFormat="1" applyFont="1" applyFill="1" applyBorder="1" applyProtection="1">
      <protection locked="0"/>
    </xf>
    <xf numFmtId="3" fontId="131" fillId="33" borderId="12" xfId="1" applyNumberFormat="1" applyFont="1" applyFill="1" applyBorder="1" applyAlignment="1" applyProtection="1">
      <protection locked="0"/>
    </xf>
    <xf numFmtId="3" fontId="70" fillId="6" borderId="0" xfId="1" applyNumberFormat="1" applyFont="1" applyFill="1" applyBorder="1" applyAlignment="1" applyProtection="1"/>
    <xf numFmtId="0" fontId="134" fillId="0" borderId="0" xfId="0" applyFont="1"/>
    <xf numFmtId="3" fontId="131" fillId="33" borderId="7" xfId="1" applyNumberFormat="1" applyFont="1" applyFill="1" applyBorder="1" applyAlignment="1" applyProtection="1">
      <protection locked="0"/>
    </xf>
    <xf numFmtId="0" fontId="4" fillId="6" borderId="0" xfId="0" applyFont="1" applyFill="1"/>
    <xf numFmtId="0" fontId="70" fillId="6" borderId="0" xfId="0" applyFont="1" applyFill="1" applyAlignment="1">
      <alignment horizontal="left"/>
    </xf>
    <xf numFmtId="0" fontId="70" fillId="6" borderId="0" xfId="0" applyFont="1" applyFill="1"/>
    <xf numFmtId="3" fontId="4" fillId="33" borderId="1" xfId="0" applyNumberFormat="1" applyFont="1" applyFill="1" applyBorder="1" applyProtection="1">
      <protection locked="0"/>
    </xf>
    <xf numFmtId="0" fontId="4" fillId="0" borderId="0" xfId="0" applyFont="1" applyAlignment="1">
      <alignment horizontal="center"/>
    </xf>
    <xf numFmtId="10" fontId="4" fillId="7" borderId="93" xfId="0" applyNumberFormat="1" applyFont="1" applyFill="1" applyBorder="1"/>
    <xf numFmtId="3" fontId="4" fillId="7" borderId="94" xfId="1" applyNumberFormat="1" applyFont="1" applyFill="1" applyBorder="1" applyAlignment="1" applyProtection="1"/>
    <xf numFmtId="3" fontId="4" fillId="0" borderId="0" xfId="0" applyNumberFormat="1" applyFont="1"/>
    <xf numFmtId="0" fontId="70" fillId="0" borderId="0" xfId="0" applyFont="1" applyAlignment="1">
      <alignment horizontal="left"/>
    </xf>
    <xf numFmtId="3" fontId="131" fillId="33" borderId="16" xfId="0" applyNumberFormat="1" applyFont="1" applyFill="1" applyBorder="1" applyProtection="1">
      <protection locked="0"/>
    </xf>
    <xf numFmtId="3" fontId="131" fillId="33" borderId="16" xfId="1" applyNumberFormat="1" applyFont="1" applyFill="1" applyBorder="1" applyAlignment="1" applyProtection="1">
      <protection locked="0"/>
    </xf>
    <xf numFmtId="0" fontId="4" fillId="0" borderId="52" xfId="0" applyFont="1" applyBorder="1" applyAlignment="1">
      <alignment horizontal="center"/>
    </xf>
    <xf numFmtId="3" fontId="131" fillId="33" borderId="17" xfId="1" applyNumberFormat="1" applyFont="1" applyFill="1" applyBorder="1" applyAlignment="1" applyProtection="1">
      <protection locked="0"/>
    </xf>
    <xf numFmtId="3" fontId="131" fillId="33" borderId="11" xfId="1" applyNumberFormat="1" applyFont="1" applyFill="1" applyBorder="1" applyAlignment="1" applyProtection="1">
      <protection locked="0"/>
    </xf>
    <xf numFmtId="3" fontId="38" fillId="0" borderId="0" xfId="15" applyFont="1" applyFill="1" applyBorder="1" applyAlignment="1" applyProtection="1">
      <alignment horizontal="center"/>
    </xf>
    <xf numFmtId="3" fontId="4" fillId="0" borderId="0" xfId="15" applyFont="1" applyFill="1" applyBorder="1" applyAlignment="1" applyProtection="1">
      <alignment horizontal="center" vertical="top" wrapText="1"/>
    </xf>
    <xf numFmtId="3" fontId="4" fillId="0" borderId="0" xfId="15" applyFont="1" applyFill="1" applyBorder="1" applyAlignment="1" applyProtection="1"/>
    <xf numFmtId="3" fontId="45" fillId="55" borderId="0" xfId="0" applyNumberFormat="1" applyFont="1" applyFill="1"/>
    <xf numFmtId="3" fontId="139" fillId="6" borderId="0" xfId="0" applyNumberFormat="1" applyFont="1" applyFill="1"/>
    <xf numFmtId="3" fontId="134" fillId="6" borderId="0" xfId="0" applyNumberFormat="1" applyFont="1" applyFill="1"/>
    <xf numFmtId="3" fontId="4" fillId="6" borderId="0" xfId="15" applyFont="1" applyFill="1" applyBorder="1" applyAlignment="1" applyProtection="1"/>
    <xf numFmtId="3" fontId="4" fillId="0" borderId="0" xfId="0" applyNumberFormat="1" applyFont="1" applyAlignment="1">
      <alignment horizontal="center"/>
    </xf>
    <xf numFmtId="3" fontId="70" fillId="9" borderId="0" xfId="0" applyNumberFormat="1" applyFont="1" applyFill="1"/>
    <xf numFmtId="0" fontId="4" fillId="0" borderId="10" xfId="0" applyFont="1" applyBorder="1" applyAlignment="1">
      <alignment horizontal="center"/>
    </xf>
    <xf numFmtId="3" fontId="131" fillId="33" borderId="1" xfId="10" applyFont="1" applyFill="1" applyBorder="1" applyAlignment="1" applyProtection="1">
      <protection locked="0"/>
    </xf>
    <xf numFmtId="3" fontId="131" fillId="7" borderId="1" xfId="10" applyFont="1" applyFill="1" applyBorder="1" applyAlignment="1" applyProtection="1">
      <protection locked="0"/>
    </xf>
    <xf numFmtId="3" fontId="131" fillId="33" borderId="3" xfId="0" applyNumberFormat="1" applyFont="1" applyFill="1" applyBorder="1" applyProtection="1">
      <protection locked="0"/>
    </xf>
    <xf numFmtId="3" fontId="135" fillId="33" borderId="1" xfId="0" applyNumberFormat="1" applyFont="1" applyFill="1" applyBorder="1" applyProtection="1">
      <protection locked="0"/>
    </xf>
    <xf numFmtId="3" fontId="135" fillId="33" borderId="18" xfId="0" applyNumberFormat="1" applyFont="1" applyFill="1" applyBorder="1" applyProtection="1">
      <protection locked="0"/>
    </xf>
    <xf numFmtId="3" fontId="135" fillId="33" borderId="10" xfId="1" applyNumberFormat="1" applyFont="1" applyFill="1" applyBorder="1" applyAlignment="1" applyProtection="1">
      <protection locked="0"/>
    </xf>
    <xf numFmtId="3" fontId="131" fillId="33" borderId="14" xfId="1" applyNumberFormat="1" applyFont="1" applyFill="1" applyBorder="1" applyAlignment="1" applyProtection="1">
      <protection locked="0"/>
    </xf>
    <xf numFmtId="0" fontId="131" fillId="33" borderId="7" xfId="0" applyFont="1" applyFill="1" applyBorder="1" applyProtection="1">
      <protection locked="0"/>
    </xf>
    <xf numFmtId="0" fontId="131" fillId="33" borderId="17" xfId="0" applyFont="1" applyFill="1" applyBorder="1" applyProtection="1">
      <protection locked="0"/>
    </xf>
    <xf numFmtId="0" fontId="131" fillId="33" borderId="16" xfId="0" applyFont="1" applyFill="1" applyBorder="1" applyProtection="1">
      <protection locked="0"/>
    </xf>
    <xf numFmtId="3" fontId="135" fillId="33" borderId="68" xfId="1" applyNumberFormat="1" applyFont="1" applyFill="1" applyBorder="1" applyAlignment="1" applyProtection="1">
      <protection locked="0"/>
    </xf>
    <xf numFmtId="0" fontId="131" fillId="33" borderId="18" xfId="0" applyFont="1" applyFill="1" applyBorder="1" applyProtection="1">
      <protection locked="0"/>
    </xf>
    <xf numFmtId="0" fontId="131" fillId="33" borderId="14" xfId="0" applyFont="1" applyFill="1" applyBorder="1" applyAlignment="1" applyProtection="1">
      <alignment horizontal="left"/>
      <protection locked="0"/>
    </xf>
    <xf numFmtId="0" fontId="131" fillId="33" borderId="15" xfId="0" applyFont="1" applyFill="1" applyBorder="1" applyProtection="1">
      <protection locked="0"/>
    </xf>
    <xf numFmtId="0" fontId="131" fillId="33" borderId="14" xfId="0" applyFont="1" applyFill="1" applyBorder="1" applyProtection="1">
      <protection locked="0"/>
    </xf>
    <xf numFmtId="0" fontId="131" fillId="11" borderId="17" xfId="0" applyFont="1" applyFill="1" applyBorder="1"/>
    <xf numFmtId="0" fontId="131" fillId="11" borderId="7" xfId="0" applyFont="1" applyFill="1" applyBorder="1"/>
    <xf numFmtId="0" fontId="4" fillId="0" borderId="115" xfId="0" applyFont="1" applyBorder="1" applyAlignment="1">
      <alignment horizontal="center"/>
    </xf>
    <xf numFmtId="3" fontId="131" fillId="33" borderId="24" xfId="0" applyNumberFormat="1" applyFont="1" applyFill="1" applyBorder="1" applyProtection="1">
      <protection locked="0"/>
    </xf>
    <xf numFmtId="3" fontId="131" fillId="33" borderId="24" xfId="1" applyNumberFormat="1" applyFont="1" applyFill="1" applyBorder="1" applyAlignment="1" applyProtection="1">
      <protection locked="0"/>
    </xf>
    <xf numFmtId="3" fontId="131" fillId="33" borderId="116" xfId="1" applyNumberFormat="1" applyFont="1" applyFill="1" applyBorder="1" applyAlignment="1" applyProtection="1">
      <protection locked="0"/>
    </xf>
    <xf numFmtId="0" fontId="4" fillId="33" borderId="14" xfId="0" applyFont="1" applyFill="1" applyBorder="1" applyProtection="1">
      <protection locked="0"/>
    </xf>
    <xf numFmtId="3" fontId="131" fillId="33" borderId="14" xfId="0" applyNumberFormat="1" applyFont="1" applyFill="1" applyBorder="1" applyProtection="1">
      <protection locked="0"/>
    </xf>
    <xf numFmtId="3" fontId="135" fillId="33" borderId="1" xfId="1" applyNumberFormat="1" applyFont="1" applyFill="1" applyBorder="1" applyAlignment="1" applyProtection="1">
      <protection locked="0"/>
    </xf>
    <xf numFmtId="3" fontId="142" fillId="33" borderId="1" xfId="15" applyFont="1" applyFill="1" applyBorder="1" applyAlignment="1" applyProtection="1">
      <alignment horizontal="center"/>
      <protection locked="0"/>
    </xf>
    <xf numFmtId="0" fontId="131" fillId="11" borderId="18" xfId="0" applyFont="1" applyFill="1" applyBorder="1" applyAlignment="1">
      <alignment wrapText="1"/>
    </xf>
    <xf numFmtId="3" fontId="135" fillId="33" borderId="13" xfId="1" applyNumberFormat="1" applyFont="1" applyFill="1" applyBorder="1" applyAlignment="1" applyProtection="1">
      <protection locked="0"/>
    </xf>
    <xf numFmtId="3" fontId="70" fillId="10" borderId="10" xfId="1" applyNumberFormat="1" applyFont="1" applyFill="1" applyBorder="1" applyAlignment="1" applyProtection="1"/>
    <xf numFmtId="3" fontId="70" fillId="10" borderId="70" xfId="1" applyNumberFormat="1" applyFont="1" applyFill="1" applyBorder="1" applyAlignment="1" applyProtection="1"/>
    <xf numFmtId="0" fontId="131" fillId="33" borderId="88" xfId="0" applyFont="1" applyFill="1" applyBorder="1" applyProtection="1">
      <protection locked="0"/>
    </xf>
    <xf numFmtId="3" fontId="135" fillId="33" borderId="69" xfId="1" applyNumberFormat="1" applyFont="1" applyFill="1" applyBorder="1" applyAlignment="1" applyProtection="1">
      <protection locked="0"/>
    </xf>
    <xf numFmtId="0" fontId="131" fillId="33" borderId="4" xfId="0" applyFont="1" applyFill="1" applyBorder="1" applyProtection="1">
      <protection locked="0"/>
    </xf>
    <xf numFmtId="3" fontId="135" fillId="33" borderId="5" xfId="1" applyNumberFormat="1" applyFont="1" applyFill="1" applyBorder="1" applyAlignment="1" applyProtection="1">
      <protection locked="0"/>
    </xf>
    <xf numFmtId="3" fontId="135" fillId="33" borderId="26" xfId="0" applyNumberFormat="1" applyFont="1" applyFill="1" applyBorder="1" applyProtection="1">
      <protection locked="0"/>
    </xf>
    <xf numFmtId="3" fontId="131" fillId="33" borderId="26" xfId="1" applyNumberFormat="1" applyFont="1" applyFill="1" applyBorder="1" applyAlignment="1" applyProtection="1">
      <alignment shrinkToFit="1"/>
      <protection locked="0"/>
    </xf>
    <xf numFmtId="0" fontId="131" fillId="11" borderId="4" xfId="0" applyFont="1" applyFill="1" applyBorder="1"/>
    <xf numFmtId="0" fontId="4" fillId="0" borderId="0" xfId="0" applyFont="1" applyAlignment="1">
      <alignment horizontal="left"/>
    </xf>
    <xf numFmtId="0" fontId="30" fillId="0" borderId="0" xfId="0" applyFont="1" applyAlignment="1">
      <alignment horizontal="left"/>
    </xf>
    <xf numFmtId="3" fontId="131" fillId="7" borderId="1" xfId="1" applyNumberFormat="1" applyFont="1" applyFill="1" applyBorder="1" applyAlignment="1" applyProtection="1"/>
    <xf numFmtId="3" fontId="131" fillId="7" borderId="1" xfId="10" applyFont="1" applyFill="1" applyBorder="1" applyAlignment="1"/>
    <xf numFmtId="3" fontId="43" fillId="33" borderId="1" xfId="10" applyFont="1" applyFill="1" applyBorder="1" applyAlignment="1" applyProtection="1">
      <protection locked="0"/>
    </xf>
    <xf numFmtId="3" fontId="101" fillId="33" borderId="1" xfId="10" applyFont="1" applyFill="1" applyBorder="1" applyAlignment="1" applyProtection="1">
      <protection locked="0"/>
    </xf>
    <xf numFmtId="3" fontId="4" fillId="7" borderId="1" xfId="0" applyNumberFormat="1" applyFont="1" applyFill="1" applyBorder="1" applyAlignment="1" applyProtection="1">
      <alignment wrapText="1"/>
      <protection locked="0"/>
    </xf>
    <xf numFmtId="3" fontId="135" fillId="33" borderId="1" xfId="10" applyFont="1" applyFill="1" applyBorder="1" applyAlignment="1" applyProtection="1">
      <protection locked="0"/>
    </xf>
    <xf numFmtId="3" fontId="4" fillId="7" borderId="1" xfId="0" applyNumberFormat="1" applyFont="1" applyFill="1" applyBorder="1" applyProtection="1">
      <protection locked="0"/>
    </xf>
    <xf numFmtId="3" fontId="131" fillId="33" borderId="13" xfId="0" applyNumberFormat="1" applyFont="1" applyFill="1" applyBorder="1" applyProtection="1">
      <protection locked="0"/>
    </xf>
    <xf numFmtId="3" fontId="4" fillId="0" borderId="0" xfId="15" applyFont="1" applyFill="1" applyBorder="1" applyAlignment="1" applyProtection="1">
      <alignment horizontal="left"/>
    </xf>
    <xf numFmtId="3" fontId="38" fillId="0" borderId="0" xfId="15" applyFont="1" applyFill="1" applyBorder="1" applyAlignment="1" applyProtection="1"/>
    <xf numFmtId="3" fontId="38" fillId="0" borderId="0" xfId="15" applyFont="1" applyFill="1" applyBorder="1" applyAlignment="1" applyProtection="1">
      <alignment horizontal="left"/>
    </xf>
    <xf numFmtId="0" fontId="132" fillId="11" borderId="95" xfId="0" applyFont="1" applyFill="1" applyBorder="1" applyAlignment="1">
      <alignment horizontal="center"/>
    </xf>
    <xf numFmtId="0" fontId="132" fillId="11" borderId="96" xfId="0" applyFont="1" applyFill="1" applyBorder="1" applyAlignment="1">
      <alignment horizontal="center"/>
    </xf>
    <xf numFmtId="3" fontId="131" fillId="33" borderId="11" xfId="0" applyNumberFormat="1" applyFont="1" applyFill="1" applyBorder="1" applyProtection="1">
      <protection locked="0"/>
    </xf>
    <xf numFmtId="3" fontId="143" fillId="33" borderId="1" xfId="1" applyNumberFormat="1" applyFont="1" applyFill="1" applyBorder="1" applyAlignment="1" applyProtection="1">
      <protection locked="0"/>
    </xf>
    <xf numFmtId="3" fontId="131" fillId="33" borderId="13" xfId="1" applyNumberFormat="1" applyFont="1" applyFill="1" applyBorder="1" applyAlignment="1" applyProtection="1">
      <protection locked="0"/>
    </xf>
    <xf numFmtId="0" fontId="132" fillId="11" borderId="100" xfId="0" applyFont="1" applyFill="1" applyBorder="1" applyAlignment="1">
      <alignment horizontal="center"/>
    </xf>
    <xf numFmtId="0" fontId="4" fillId="33" borderId="111" xfId="0" applyFont="1" applyFill="1" applyBorder="1" applyAlignment="1" applyProtection="1">
      <alignment horizontal="left"/>
      <protection locked="0"/>
    </xf>
    <xf numFmtId="0" fontId="4" fillId="33" borderId="112" xfId="0" applyFont="1" applyFill="1" applyBorder="1" applyAlignment="1" applyProtection="1">
      <alignment horizontal="left"/>
      <protection locked="0"/>
    </xf>
    <xf numFmtId="0" fontId="4" fillId="33" borderId="113" xfId="0" applyFont="1" applyFill="1" applyBorder="1" applyAlignment="1" applyProtection="1">
      <alignment horizontal="left"/>
      <protection locked="0"/>
    </xf>
    <xf numFmtId="0" fontId="4" fillId="33" borderId="71" xfId="0" applyFont="1" applyFill="1" applyBorder="1" applyAlignment="1" applyProtection="1">
      <alignment horizontal="left"/>
      <protection locked="0"/>
    </xf>
    <xf numFmtId="0" fontId="4" fillId="33" borderId="119" xfId="0" applyFont="1" applyFill="1" applyBorder="1" applyAlignment="1" applyProtection="1">
      <alignment horizontal="left"/>
      <protection locked="0"/>
    </xf>
    <xf numFmtId="0" fontId="4" fillId="33" borderId="1" xfId="0" applyFont="1" applyFill="1" applyBorder="1" applyAlignment="1" applyProtection="1">
      <alignment horizontal="left"/>
      <protection locked="0"/>
    </xf>
    <xf numFmtId="0" fontId="4" fillId="33" borderId="13" xfId="0" applyFont="1" applyFill="1" applyBorder="1" applyAlignment="1" applyProtection="1">
      <alignment horizontal="left"/>
      <protection locked="0"/>
    </xf>
    <xf numFmtId="0" fontId="4" fillId="33" borderId="82" xfId="0" applyFont="1" applyFill="1" applyBorder="1" applyAlignment="1" applyProtection="1">
      <alignment horizontal="left"/>
      <protection locked="0"/>
    </xf>
    <xf numFmtId="0" fontId="4" fillId="33" borderId="114" xfId="0" applyFont="1" applyFill="1" applyBorder="1" applyAlignment="1" applyProtection="1">
      <alignment horizontal="left"/>
      <protection locked="0"/>
    </xf>
    <xf numFmtId="0" fontId="4" fillId="33" borderId="22" xfId="0" applyFont="1" applyFill="1" applyBorder="1" applyAlignment="1" applyProtection="1">
      <alignment horizontal="left"/>
      <protection locked="0"/>
    </xf>
    <xf numFmtId="0" fontId="4" fillId="33" borderId="120" xfId="0" applyFont="1" applyFill="1" applyBorder="1" applyAlignment="1" applyProtection="1">
      <alignment horizontal="left"/>
      <protection locked="0"/>
    </xf>
    <xf numFmtId="0" fontId="4" fillId="33" borderId="117" xfId="0" applyFont="1" applyFill="1" applyBorder="1" applyAlignment="1" applyProtection="1">
      <alignment horizontal="left"/>
      <protection locked="0"/>
    </xf>
    <xf numFmtId="0" fontId="4" fillId="33" borderId="118" xfId="0" applyFont="1" applyFill="1" applyBorder="1" applyAlignment="1" applyProtection="1">
      <alignment horizontal="left"/>
      <protection locked="0"/>
    </xf>
    <xf numFmtId="3" fontId="4" fillId="33" borderId="71" xfId="15" applyFont="1" applyFill="1" applyBorder="1" applyAlignment="1" applyProtection="1">
      <alignment horizontal="left"/>
      <protection locked="0"/>
    </xf>
    <xf numFmtId="3" fontId="4" fillId="33" borderId="118" xfId="15" applyFont="1" applyFill="1" applyBorder="1" applyAlignment="1" applyProtection="1">
      <alignment horizontal="left"/>
      <protection locked="0"/>
    </xf>
    <xf numFmtId="3" fontId="4" fillId="33" borderId="119" xfId="15" applyFont="1" applyFill="1" applyBorder="1" applyAlignment="1" applyProtection="1">
      <alignment horizontal="left"/>
      <protection locked="0"/>
    </xf>
    <xf numFmtId="1" fontId="66" fillId="10" borderId="34" xfId="0" applyNumberFormat="1" applyFont="1" applyFill="1" applyBorder="1"/>
    <xf numFmtId="0" fontId="89" fillId="0" borderId="0" xfId="21" applyFont="1"/>
    <xf numFmtId="3" fontId="66" fillId="0" borderId="31" xfId="0" applyNumberFormat="1" applyFont="1" applyBorder="1"/>
    <xf numFmtId="3" fontId="66" fillId="0" borderId="35" xfId="0" applyNumberFormat="1" applyFont="1" applyBorder="1"/>
    <xf numFmtId="0" fontId="86" fillId="0" borderId="31" xfId="45" applyFont="1" applyBorder="1"/>
    <xf numFmtId="3" fontId="86" fillId="0" borderId="0" xfId="45" applyNumberFormat="1" applyFont="1"/>
    <xf numFmtId="3" fontId="87" fillId="0" borderId="36" xfId="45" applyNumberFormat="1" applyFont="1" applyBorder="1"/>
    <xf numFmtId="3" fontId="66" fillId="0" borderId="32" xfId="0" applyNumberFormat="1" applyFont="1" applyBorder="1"/>
    <xf numFmtId="3" fontId="148" fillId="10" borderId="36" xfId="45" applyNumberFormat="1" applyFont="1" applyFill="1" applyBorder="1"/>
    <xf numFmtId="0" fontId="75" fillId="6" borderId="0" xfId="45" applyFill="1"/>
    <xf numFmtId="0" fontId="101" fillId="33" borderId="1" xfId="0" applyFont="1" applyFill="1" applyBorder="1" applyAlignment="1" applyProtection="1">
      <alignment horizontal="right"/>
      <protection locked="0"/>
    </xf>
    <xf numFmtId="0" fontId="101" fillId="33" borderId="1" xfId="0" applyFont="1" applyFill="1" applyBorder="1" applyAlignment="1" applyProtection="1">
      <alignment horizontal="right" wrapText="1"/>
      <protection locked="0"/>
    </xf>
    <xf numFmtId="0" fontId="101" fillId="33" borderId="121" xfId="0" applyFont="1" applyFill="1" applyBorder="1" applyAlignment="1" applyProtection="1">
      <alignment horizontal="right" wrapText="1"/>
      <protection locked="0"/>
    </xf>
    <xf numFmtId="164" fontId="75" fillId="0" borderId="0" xfId="174" applyFont="1"/>
    <xf numFmtId="0" fontId="75" fillId="39" borderId="0" xfId="45" applyFill="1"/>
    <xf numFmtId="0" fontId="79" fillId="39" borderId="0" xfId="45" applyFont="1" applyFill="1"/>
    <xf numFmtId="4" fontId="75" fillId="0" borderId="0" xfId="45" applyNumberFormat="1"/>
    <xf numFmtId="3" fontId="79" fillId="0" borderId="0" xfId="45" applyNumberFormat="1" applyFont="1"/>
    <xf numFmtId="4" fontId="84" fillId="0" borderId="0" xfId="46" applyNumberFormat="1" applyFont="1" applyFill="1" applyBorder="1" applyAlignment="1"/>
    <xf numFmtId="2" fontId="68" fillId="0" borderId="0" xfId="0" applyNumberFormat="1" applyFont="1"/>
    <xf numFmtId="3" fontId="66" fillId="0" borderId="42" xfId="0" applyNumberFormat="1" applyFont="1" applyBorder="1"/>
    <xf numFmtId="0" fontId="147" fillId="0" borderId="39" xfId="45" applyFont="1" applyBorder="1" applyAlignment="1">
      <alignment wrapText="1"/>
    </xf>
    <xf numFmtId="3" fontId="148" fillId="0" borderId="36" xfId="45" applyNumberFormat="1" applyFont="1" applyBorder="1"/>
    <xf numFmtId="0" fontId="147" fillId="0" borderId="39" xfId="45" applyFont="1" applyBorder="1"/>
    <xf numFmtId="0" fontId="147" fillId="0" borderId="0" xfId="45" applyFont="1"/>
    <xf numFmtId="3" fontId="148" fillId="0" borderId="0" xfId="45" applyNumberFormat="1" applyFont="1"/>
    <xf numFmtId="2" fontId="116" fillId="0" borderId="0" xfId="0" applyNumberFormat="1" applyFont="1" applyAlignment="1">
      <alignment horizontal="right"/>
    </xf>
    <xf numFmtId="0" fontId="116" fillId="0" borderId="0" xfId="0" applyFont="1"/>
    <xf numFmtId="3" fontId="70" fillId="18" borderId="0" xfId="15" applyFont="1" applyFill="1" applyBorder="1" applyAlignment="1" applyProtection="1"/>
    <xf numFmtId="3" fontId="4" fillId="33" borderId="46" xfId="15" applyFont="1" applyFill="1" applyBorder="1" applyAlignment="1" applyProtection="1">
      <protection locked="0"/>
    </xf>
    <xf numFmtId="3" fontId="4" fillId="3" borderId="124" xfId="15" applyFont="1" applyFill="1" applyBorder="1" applyAlignment="1" applyProtection="1">
      <alignment horizontal="center" vertical="center" wrapText="1"/>
    </xf>
    <xf numFmtId="3" fontId="4" fillId="33" borderId="46" xfId="15" applyFont="1" applyFill="1" applyBorder="1" applyAlignment="1" applyProtection="1">
      <alignment horizontal="left"/>
      <protection locked="0"/>
    </xf>
    <xf numFmtId="3" fontId="4" fillId="11" borderId="43" xfId="15" applyFont="1" applyFill="1" applyBorder="1" applyAlignment="1" applyProtection="1">
      <alignment horizontal="center"/>
    </xf>
    <xf numFmtId="4" fontId="64" fillId="10" borderId="125" xfId="15" applyNumberFormat="1" applyFont="1" applyFill="1" applyBorder="1" applyAlignment="1" applyProtection="1"/>
    <xf numFmtId="4" fontId="64" fillId="10" borderId="126" xfId="15" applyNumberFormat="1" applyFont="1" applyFill="1" applyBorder="1" applyAlignment="1" applyProtection="1"/>
    <xf numFmtId="3" fontId="101" fillId="0" borderId="0" xfId="15" applyFont="1" applyFill="1" applyBorder="1" applyAlignment="1" applyProtection="1"/>
    <xf numFmtId="3" fontId="116" fillId="10" borderId="35" xfId="0" applyNumberFormat="1" applyFont="1" applyFill="1" applyBorder="1"/>
    <xf numFmtId="2" fontId="79" fillId="0" borderId="0" xfId="45" applyNumberFormat="1" applyFont="1"/>
    <xf numFmtId="0" fontId="66" fillId="6" borderId="0" xfId="0" applyFont="1" applyFill="1"/>
    <xf numFmtId="0" fontId="0" fillId="0" borderId="25" xfId="0" applyBorder="1" applyAlignment="1">
      <alignment vertical="top" wrapText="1"/>
    </xf>
    <xf numFmtId="0" fontId="97" fillId="0" borderId="0" xfId="45" applyFont="1"/>
    <xf numFmtId="0" fontId="152" fillId="0" borderId="0" xfId="45" applyFont="1"/>
    <xf numFmtId="0" fontId="97" fillId="0" borderId="0" xfId="45" applyFont="1" applyAlignment="1">
      <alignment wrapText="1"/>
    </xf>
    <xf numFmtId="177" fontId="97" fillId="0" borderId="0" xfId="45" applyNumberFormat="1" applyFont="1" applyAlignment="1">
      <alignment horizontal="left"/>
    </xf>
    <xf numFmtId="0" fontId="97" fillId="0" borderId="0" xfId="46" applyNumberFormat="1" applyFont="1"/>
    <xf numFmtId="4" fontId="97" fillId="7" borderId="29" xfId="46" applyNumberFormat="1" applyFont="1" applyFill="1" applyBorder="1" applyAlignment="1"/>
    <xf numFmtId="3" fontId="152" fillId="6" borderId="0" xfId="45" applyNumberFormat="1" applyFont="1" applyFill="1" applyAlignment="1">
      <alignment horizontal="left"/>
    </xf>
    <xf numFmtId="4" fontId="97" fillId="0" borderId="0" xfId="45" applyNumberFormat="1" applyFont="1"/>
    <xf numFmtId="3" fontId="153" fillId="33" borderId="84" xfId="0" applyNumberFormat="1" applyFont="1" applyFill="1" applyBorder="1" applyProtection="1">
      <protection locked="0"/>
    </xf>
    <xf numFmtId="3" fontId="153" fillId="33" borderId="12" xfId="0" applyNumberFormat="1" applyFont="1" applyFill="1" applyBorder="1" applyProtection="1">
      <protection locked="0"/>
    </xf>
    <xf numFmtId="0" fontId="97" fillId="0" borderId="0" xfId="44" applyFont="1"/>
    <xf numFmtId="3" fontId="152" fillId="10" borderId="0" xfId="45" applyNumberFormat="1" applyFont="1" applyFill="1" applyAlignment="1">
      <alignment horizontal="left"/>
    </xf>
    <xf numFmtId="0" fontId="97" fillId="0" borderId="0" xfId="45" applyFont="1" applyAlignment="1">
      <alignment horizontal="left"/>
    </xf>
    <xf numFmtId="0" fontId="152" fillId="10" borderId="34" xfId="0" applyFont="1" applyFill="1" applyBorder="1"/>
    <xf numFmtId="3" fontId="155" fillId="6" borderId="0" xfId="45" applyNumberFormat="1" applyFont="1" applyFill="1" applyAlignment="1">
      <alignment horizontal="left"/>
    </xf>
    <xf numFmtId="4" fontId="156" fillId="0" borderId="0" xfId="45" applyNumberFormat="1" applyFont="1" applyAlignment="1">
      <alignment horizontal="left"/>
    </xf>
    <xf numFmtId="3" fontId="152" fillId="10" borderId="0" xfId="0" applyNumberFormat="1" applyFont="1" applyFill="1" applyAlignment="1">
      <alignment horizontal="left"/>
    </xf>
    <xf numFmtId="0" fontId="111" fillId="0" borderId="0" xfId="21" applyFont="1" applyAlignment="1">
      <alignment horizontal="center"/>
    </xf>
    <xf numFmtId="0" fontId="75" fillId="39" borderId="0" xfId="45" applyFill="1" applyAlignment="1">
      <alignment horizontal="center"/>
    </xf>
    <xf numFmtId="0" fontId="152" fillId="10" borderId="21" xfId="45" applyFont="1" applyFill="1" applyBorder="1"/>
    <xf numFmtId="0" fontId="152" fillId="10" borderId="0" xfId="45" applyFont="1" applyFill="1"/>
    <xf numFmtId="3" fontId="152" fillId="10" borderId="0" xfId="0" applyNumberFormat="1" applyFont="1" applyFill="1" applyAlignment="1">
      <alignment horizontal="right"/>
    </xf>
    <xf numFmtId="3" fontId="152" fillId="10" borderId="0" xfId="0" applyNumberFormat="1" applyFont="1" applyFill="1"/>
    <xf numFmtId="0" fontId="97" fillId="0" borderId="0" xfId="45" applyFont="1" applyAlignment="1">
      <alignment horizontal="center"/>
    </xf>
    <xf numFmtId="0" fontId="97" fillId="0" borderId="21" xfId="45" applyFont="1" applyBorder="1"/>
    <xf numFmtId="0" fontId="97" fillId="7" borderId="6" xfId="0" applyFont="1" applyFill="1" applyBorder="1"/>
    <xf numFmtId="3" fontId="153" fillId="33" borderId="103" xfId="0" applyNumberFormat="1" applyFont="1" applyFill="1" applyBorder="1" applyProtection="1">
      <protection locked="0"/>
    </xf>
    <xf numFmtId="3" fontId="97" fillId="7" borderId="1" xfId="0" applyNumberFormat="1" applyFont="1" applyFill="1" applyBorder="1"/>
    <xf numFmtId="3" fontId="97" fillId="7" borderId="11" xfId="0" applyNumberFormat="1" applyFont="1" applyFill="1" applyBorder="1"/>
    <xf numFmtId="0" fontId="97" fillId="10" borderId="0" xfId="45" applyFont="1" applyFill="1" applyAlignment="1">
      <alignment horizontal="center"/>
    </xf>
    <xf numFmtId="3" fontId="152" fillId="10" borderId="37" xfId="0" applyNumberFormat="1" applyFont="1" applyFill="1" applyBorder="1"/>
    <xf numFmtId="3" fontId="152" fillId="10" borderId="38" xfId="0" applyNumberFormat="1" applyFont="1" applyFill="1" applyBorder="1"/>
    <xf numFmtId="0" fontId="97" fillId="7" borderId="0" xfId="45" applyFont="1" applyFill="1" applyAlignment="1">
      <alignment horizontal="center"/>
    </xf>
    <xf numFmtId="0" fontId="152" fillId="10" borderId="0" xfId="45" applyFont="1" applyFill="1" applyAlignment="1">
      <alignment horizontal="center"/>
    </xf>
    <xf numFmtId="0" fontId="97" fillId="6" borderId="0" xfId="45" applyFont="1" applyFill="1" applyAlignment="1">
      <alignment horizontal="center"/>
    </xf>
    <xf numFmtId="0" fontId="97" fillId="6" borderId="0" xfId="45" applyFont="1" applyFill="1"/>
    <xf numFmtId="0" fontId="97" fillId="6" borderId="21" xfId="45" applyFont="1" applyFill="1" applyBorder="1"/>
    <xf numFmtId="4" fontId="152" fillId="10" borderId="0" xfId="1" applyFont="1" applyFill="1" applyBorder="1" applyAlignment="1" applyProtection="1">
      <alignment horizontal="center"/>
    </xf>
    <xf numFmtId="4" fontId="97" fillId="10" borderId="0" xfId="1" applyFont="1" applyFill="1" applyBorder="1" applyAlignment="1" applyProtection="1">
      <alignment horizontal="center"/>
    </xf>
    <xf numFmtId="4" fontId="155" fillId="30" borderId="0" xfId="1" applyFont="1" applyFill="1" applyBorder="1" applyAlignment="1" applyProtection="1">
      <alignment horizontal="center"/>
    </xf>
    <xf numFmtId="0" fontId="165" fillId="10" borderId="0" xfId="45" applyFont="1" applyFill="1"/>
    <xf numFmtId="0" fontId="152" fillId="10" borderId="123" xfId="45" applyFont="1" applyFill="1" applyBorder="1"/>
    <xf numFmtId="0" fontId="152" fillId="10" borderId="34" xfId="45" applyFont="1" applyFill="1" applyBorder="1"/>
    <xf numFmtId="0" fontId="152" fillId="10" borderId="32" xfId="45" applyFont="1" applyFill="1" applyBorder="1"/>
    <xf numFmtId="0" fontId="152" fillId="10" borderId="33" xfId="45" applyFont="1" applyFill="1" applyBorder="1"/>
    <xf numFmtId="0" fontId="166" fillId="32" borderId="66" xfId="0" applyFont="1" applyFill="1" applyBorder="1"/>
    <xf numFmtId="0" fontId="152" fillId="10" borderId="104" xfId="45" applyFont="1" applyFill="1" applyBorder="1"/>
    <xf numFmtId="0" fontId="152" fillId="10" borderId="101" xfId="45" applyFont="1" applyFill="1" applyBorder="1"/>
    <xf numFmtId="0" fontId="152" fillId="10" borderId="73" xfId="45" applyFont="1" applyFill="1" applyBorder="1"/>
    <xf numFmtId="1" fontId="152" fillId="10" borderId="73" xfId="45" applyNumberFormat="1" applyFont="1" applyFill="1" applyBorder="1"/>
    <xf numFmtId="0" fontId="152" fillId="10" borderId="79" xfId="45" applyFont="1" applyFill="1" applyBorder="1"/>
    <xf numFmtId="0" fontId="152" fillId="10" borderId="77" xfId="45" applyFont="1" applyFill="1" applyBorder="1"/>
    <xf numFmtId="0" fontId="152" fillId="10" borderId="75" xfId="45" applyFont="1" applyFill="1" applyBorder="1"/>
    <xf numFmtId="0" fontId="152" fillId="10" borderId="86" xfId="45" applyFont="1" applyFill="1" applyBorder="1"/>
    <xf numFmtId="0" fontId="152" fillId="10" borderId="85" xfId="45" applyFont="1" applyFill="1" applyBorder="1"/>
    <xf numFmtId="0" fontId="152" fillId="10" borderId="78" xfId="45" applyFont="1" applyFill="1" applyBorder="1"/>
    <xf numFmtId="3" fontId="152" fillId="10" borderId="36" xfId="0" applyNumberFormat="1" applyFont="1" applyFill="1" applyBorder="1"/>
    <xf numFmtId="3" fontId="152" fillId="10" borderId="105" xfId="0" applyNumberFormat="1" applyFont="1" applyFill="1" applyBorder="1"/>
    <xf numFmtId="3" fontId="152" fillId="10" borderId="102" xfId="0" applyNumberFormat="1" applyFont="1" applyFill="1" applyBorder="1"/>
    <xf numFmtId="3" fontId="152" fillId="10" borderId="74" xfId="0" applyNumberFormat="1" applyFont="1" applyFill="1" applyBorder="1"/>
    <xf numFmtId="3" fontId="152" fillId="10" borderId="79" xfId="0" applyNumberFormat="1" applyFont="1" applyFill="1" applyBorder="1"/>
    <xf numFmtId="3" fontId="152" fillId="10" borderId="77" xfId="0" applyNumberFormat="1" applyFont="1" applyFill="1" applyBorder="1"/>
    <xf numFmtId="3" fontId="152" fillId="10" borderId="76" xfId="0" applyNumberFormat="1" applyFont="1" applyFill="1" applyBorder="1"/>
    <xf numFmtId="3" fontId="152" fillId="10" borderId="78" xfId="0" applyNumberFormat="1" applyFont="1" applyFill="1" applyBorder="1"/>
    <xf numFmtId="0" fontId="152" fillId="10" borderId="106" xfId="45" applyFont="1" applyFill="1" applyBorder="1"/>
    <xf numFmtId="0" fontId="152" fillId="10" borderId="40" xfId="45" applyFont="1" applyFill="1" applyBorder="1"/>
    <xf numFmtId="0" fontId="152" fillId="10" borderId="41" xfId="45" applyFont="1" applyFill="1" applyBorder="1"/>
    <xf numFmtId="0" fontId="152" fillId="10" borderId="36" xfId="45" applyFont="1" applyFill="1" applyBorder="1"/>
    <xf numFmtId="0" fontId="166" fillId="32" borderId="67" xfId="0" applyFont="1" applyFill="1" applyBorder="1"/>
    <xf numFmtId="0" fontId="97" fillId="7" borderId="0" xfId="45" applyFont="1" applyFill="1"/>
    <xf numFmtId="0" fontId="97" fillId="7" borderId="21" xfId="45" applyFont="1" applyFill="1" applyBorder="1"/>
    <xf numFmtId="0" fontId="97" fillId="7" borderId="34" xfId="45" applyFont="1" applyFill="1" applyBorder="1"/>
    <xf numFmtId="0" fontId="97" fillId="31" borderId="0" xfId="0" applyFont="1" applyFill="1"/>
    <xf numFmtId="0" fontId="97" fillId="33" borderId="21" xfId="45" applyFont="1" applyFill="1" applyBorder="1" applyAlignment="1" applyProtection="1">
      <alignment horizontal="center"/>
      <protection locked="0"/>
    </xf>
    <xf numFmtId="0" fontId="97" fillId="33" borderId="50" xfId="45" applyFont="1" applyFill="1" applyBorder="1" applyAlignment="1" applyProtection="1">
      <alignment horizontal="center"/>
      <protection locked="0"/>
    </xf>
    <xf numFmtId="0" fontId="158" fillId="7" borderId="0" xfId="0" applyFont="1" applyFill="1"/>
    <xf numFmtId="4" fontId="152" fillId="10" borderId="0" xfId="46" applyNumberFormat="1" applyFont="1" applyFill="1" applyBorder="1" applyAlignment="1"/>
    <xf numFmtId="2" fontId="152" fillId="10" borderId="0" xfId="0" applyNumberFormat="1" applyFont="1" applyFill="1"/>
    <xf numFmtId="4" fontId="152" fillId="10" borderId="36" xfId="46" applyNumberFormat="1" applyFont="1" applyFill="1" applyBorder="1" applyAlignment="1"/>
    <xf numFmtId="2" fontId="152" fillId="10" borderId="36" xfId="0" applyNumberFormat="1" applyFont="1" applyFill="1" applyBorder="1"/>
    <xf numFmtId="0" fontId="110" fillId="0" borderId="0" xfId="45" applyFont="1"/>
    <xf numFmtId="0" fontId="76" fillId="0" borderId="0" xfId="45" applyFont="1"/>
    <xf numFmtId="3" fontId="152" fillId="10" borderId="127" xfId="45" applyNumberFormat="1" applyFont="1" applyFill="1" applyBorder="1"/>
    <xf numFmtId="3" fontId="97" fillId="0" borderId="0" xfId="45" applyNumberFormat="1" applyFont="1"/>
    <xf numFmtId="3" fontId="131" fillId="33" borderId="18" xfId="1" applyNumberFormat="1" applyFont="1" applyFill="1" applyBorder="1" applyAlignment="1" applyProtection="1">
      <protection locked="0"/>
    </xf>
    <xf numFmtId="3" fontId="64" fillId="10" borderId="128" xfId="0" applyNumberFormat="1" applyFont="1" applyFill="1" applyBorder="1"/>
    <xf numFmtId="3" fontId="135" fillId="33" borderId="7" xfId="1" applyNumberFormat="1" applyFont="1" applyFill="1" applyBorder="1" applyAlignment="1" applyProtection="1">
      <protection locked="0"/>
    </xf>
    <xf numFmtId="3" fontId="142" fillId="33" borderId="7" xfId="15" applyFont="1" applyFill="1" applyBorder="1" applyAlignment="1" applyProtection="1">
      <alignment horizontal="center"/>
      <protection locked="0"/>
    </xf>
    <xf numFmtId="3" fontId="135" fillId="33" borderId="18" xfId="1" applyNumberFormat="1" applyFont="1" applyFill="1" applyBorder="1" applyAlignment="1" applyProtection="1">
      <protection locked="0"/>
    </xf>
    <xf numFmtId="3" fontId="131" fillId="33" borderId="18" xfId="0" applyNumberFormat="1" applyFont="1" applyFill="1" applyBorder="1" applyProtection="1">
      <protection locked="0"/>
    </xf>
    <xf numFmtId="3" fontId="131" fillId="33" borderId="15" xfId="1" applyNumberFormat="1" applyFont="1" applyFill="1" applyBorder="1" applyAlignment="1" applyProtection="1">
      <protection locked="0"/>
    </xf>
    <xf numFmtId="0" fontId="4" fillId="0" borderId="129" xfId="0" applyFont="1" applyBorder="1" applyAlignment="1">
      <alignment horizontal="center"/>
    </xf>
    <xf numFmtId="0" fontId="4" fillId="0" borderId="130" xfId="0" applyFont="1" applyBorder="1" applyAlignment="1">
      <alignment horizontal="center"/>
    </xf>
    <xf numFmtId="0" fontId="4" fillId="0" borderId="131" xfId="0" applyFont="1" applyBorder="1" applyAlignment="1">
      <alignment horizontal="center"/>
    </xf>
    <xf numFmtId="0" fontId="4" fillId="33" borderId="0" xfId="0" applyFont="1" applyFill="1" applyProtection="1">
      <protection locked="0"/>
    </xf>
    <xf numFmtId="0" fontId="4" fillId="0" borderId="132" xfId="0" applyFont="1" applyBorder="1" applyAlignment="1">
      <alignment horizontal="center"/>
    </xf>
    <xf numFmtId="0" fontId="4" fillId="7" borderId="131" xfId="0" applyFont="1" applyFill="1" applyBorder="1" applyAlignment="1">
      <alignment horizontal="center"/>
    </xf>
    <xf numFmtId="0" fontId="42" fillId="7" borderId="0" xfId="0" applyFont="1" applyFill="1"/>
    <xf numFmtId="0" fontId="70" fillId="74" borderId="0" xfId="0" applyFont="1" applyFill="1" applyAlignment="1">
      <alignment horizontal="left"/>
    </xf>
    <xf numFmtId="0" fontId="70" fillId="74" borderId="0" xfId="0" applyFont="1" applyFill="1"/>
    <xf numFmtId="3" fontId="70" fillId="74" borderId="0" xfId="0" applyNumberFormat="1" applyFont="1" applyFill="1"/>
    <xf numFmtId="0" fontId="65" fillId="74" borderId="0" xfId="0" applyFont="1" applyFill="1" applyAlignment="1">
      <alignment horizontal="left"/>
    </xf>
    <xf numFmtId="0" fontId="65" fillId="74" borderId="0" xfId="0" applyFont="1" applyFill="1"/>
    <xf numFmtId="3" fontId="136" fillId="49" borderId="133" xfId="0" applyNumberFormat="1" applyFont="1" applyFill="1" applyBorder="1" applyProtection="1">
      <protection locked="0"/>
    </xf>
    <xf numFmtId="3" fontId="131" fillId="33" borderId="134" xfId="0" applyNumberFormat="1" applyFont="1" applyFill="1" applyBorder="1" applyProtection="1">
      <protection locked="0"/>
    </xf>
    <xf numFmtId="3" fontId="131" fillId="33" borderId="0" xfId="1" applyNumberFormat="1" applyFont="1" applyFill="1" applyBorder="1" applyAlignment="1" applyProtection="1">
      <protection locked="0"/>
    </xf>
    <xf numFmtId="3" fontId="169" fillId="76" borderId="50" xfId="0" applyNumberFormat="1" applyFont="1" applyFill="1" applyBorder="1"/>
    <xf numFmtId="3" fontId="131" fillId="33" borderId="7" xfId="10" applyFont="1" applyFill="1" applyBorder="1" applyAlignment="1" applyProtection="1">
      <protection locked="0"/>
    </xf>
    <xf numFmtId="3" fontId="135" fillId="33" borderId="7" xfId="0" applyNumberFormat="1" applyFont="1" applyFill="1" applyBorder="1" applyProtection="1">
      <protection locked="0"/>
    </xf>
    <xf numFmtId="3" fontId="4" fillId="0" borderId="132" xfId="15" applyFont="1" applyFill="1" applyBorder="1" applyAlignment="1" applyProtection="1">
      <alignment horizontal="center"/>
    </xf>
    <xf numFmtId="3" fontId="43" fillId="7" borderId="7" xfId="1" applyNumberFormat="1" applyFont="1" applyFill="1" applyBorder="1" applyAlignment="1" applyProtection="1"/>
    <xf numFmtId="3" fontId="43" fillId="7" borderId="18" xfId="1" applyNumberFormat="1" applyFont="1" applyFill="1" applyBorder="1" applyAlignment="1" applyProtection="1"/>
    <xf numFmtId="3" fontId="101" fillId="7" borderId="7" xfId="10" applyFont="1" applyFill="1" applyBorder="1" applyAlignment="1"/>
    <xf numFmtId="3" fontId="101" fillId="33" borderId="7" xfId="10" applyFont="1" applyFill="1" applyBorder="1" applyAlignment="1" applyProtection="1">
      <protection locked="0"/>
    </xf>
    <xf numFmtId="3" fontId="131" fillId="7" borderId="7" xfId="1" applyNumberFormat="1" applyFont="1" applyFill="1" applyBorder="1" applyAlignment="1" applyProtection="1"/>
    <xf numFmtId="3" fontId="131" fillId="7" borderId="7" xfId="10" applyFont="1" applyFill="1" applyBorder="1" applyAlignment="1"/>
    <xf numFmtId="3" fontId="4" fillId="0" borderId="130" xfId="15" applyFont="1" applyFill="1" applyBorder="1" applyAlignment="1" applyProtection="1">
      <alignment horizontal="center"/>
    </xf>
    <xf numFmtId="3" fontId="4" fillId="0" borderId="52" xfId="15" applyFont="1" applyFill="1" applyBorder="1" applyAlignment="1" applyProtection="1">
      <alignment horizontal="center"/>
    </xf>
    <xf numFmtId="3" fontId="70" fillId="74" borderId="0" xfId="10" applyFont="1" applyFill="1" applyBorder="1" applyAlignment="1">
      <alignment horizontal="center"/>
    </xf>
    <xf numFmtId="3" fontId="70" fillId="74" borderId="0" xfId="10" applyFont="1" applyFill="1" applyBorder="1" applyAlignment="1">
      <alignment horizontal="left"/>
    </xf>
    <xf numFmtId="3" fontId="70" fillId="74" borderId="0" xfId="10" applyFont="1" applyFill="1" applyBorder="1" applyAlignment="1"/>
    <xf numFmtId="0" fontId="70" fillId="74" borderId="0" xfId="0" applyFont="1" applyFill="1" applyAlignment="1">
      <alignment horizontal="center"/>
    </xf>
    <xf numFmtId="3" fontId="0" fillId="33" borderId="135" xfId="0" applyNumberFormat="1" applyFill="1" applyBorder="1" applyProtection="1">
      <protection locked="0"/>
    </xf>
    <xf numFmtId="3" fontId="34" fillId="33" borderId="7" xfId="1" applyNumberFormat="1" applyFont="1" applyFill="1" applyBorder="1" applyAlignment="1" applyProtection="1">
      <protection locked="0"/>
    </xf>
    <xf numFmtId="3" fontId="70" fillId="74" borderId="126" xfId="1" applyNumberFormat="1" applyFont="1" applyFill="1" applyBorder="1" applyAlignment="1" applyProtection="1"/>
    <xf numFmtId="0" fontId="132" fillId="11" borderId="126" xfId="0" applyFont="1" applyFill="1" applyBorder="1" applyAlignment="1">
      <alignment horizontal="center"/>
    </xf>
    <xf numFmtId="3" fontId="70" fillId="74" borderId="137" xfId="1" applyNumberFormat="1" applyFont="1" applyFill="1" applyBorder="1" applyAlignment="1" applyProtection="1"/>
    <xf numFmtId="3" fontId="169" fillId="76" borderId="126" xfId="0" applyNumberFormat="1" applyFont="1" applyFill="1" applyBorder="1"/>
    <xf numFmtId="3" fontId="169" fillId="76" borderId="137" xfId="0" applyNumberFormat="1" applyFont="1" applyFill="1" applyBorder="1"/>
    <xf numFmtId="3" fontId="70" fillId="10" borderId="137" xfId="1" applyNumberFormat="1" applyFont="1" applyFill="1" applyBorder="1" applyAlignment="1" applyProtection="1"/>
    <xf numFmtId="3" fontId="132" fillId="30" borderId="126" xfId="10" applyFont="1" applyFill="1" applyBorder="1" applyAlignment="1">
      <alignment horizontal="center"/>
    </xf>
    <xf numFmtId="0" fontId="4" fillId="0" borderId="126" xfId="0" applyFont="1" applyBorder="1"/>
    <xf numFmtId="3" fontId="131" fillId="33" borderId="108" xfId="1" applyNumberFormat="1" applyFont="1" applyFill="1" applyBorder="1" applyAlignment="1" applyProtection="1">
      <alignment shrinkToFit="1"/>
      <protection locked="0"/>
    </xf>
    <xf numFmtId="3" fontId="135" fillId="33" borderId="107" xfId="0" applyNumberFormat="1" applyFont="1" applyFill="1" applyBorder="1" applyProtection="1">
      <protection locked="0"/>
    </xf>
    <xf numFmtId="3" fontId="70" fillId="10" borderId="19" xfId="1" applyNumberFormat="1" applyFont="1" applyFill="1" applyBorder="1" applyAlignment="1" applyProtection="1"/>
    <xf numFmtId="3" fontId="40" fillId="0" borderId="137" xfId="1" applyNumberFormat="1" applyFont="1" applyFill="1" applyBorder="1" applyAlignment="1" applyProtection="1">
      <protection locked="0"/>
    </xf>
    <xf numFmtId="0" fontId="171" fillId="53" borderId="138" xfId="0" applyFont="1" applyFill="1" applyBorder="1"/>
    <xf numFmtId="3" fontId="3" fillId="33" borderId="46" xfId="0" applyNumberFormat="1" applyFont="1" applyFill="1" applyBorder="1" applyProtection="1">
      <protection locked="0"/>
    </xf>
    <xf numFmtId="3" fontId="101" fillId="7" borderId="139" xfId="10" applyFont="1" applyFill="1" applyBorder="1" applyAlignment="1"/>
    <xf numFmtId="0" fontId="3" fillId="0" borderId="140" xfId="0" applyFont="1" applyBorder="1" applyAlignment="1">
      <alignment vertical="top" wrapText="1"/>
    </xf>
    <xf numFmtId="0" fontId="0" fillId="0" borderId="141" xfId="0" applyBorder="1"/>
    <xf numFmtId="0" fontId="102" fillId="0" borderId="23" xfId="0" applyFont="1" applyBorder="1"/>
    <xf numFmtId="10" fontId="0" fillId="7" borderId="59" xfId="0" applyNumberFormat="1" applyFill="1" applyBorder="1" applyAlignment="1">
      <alignment horizontal="left"/>
    </xf>
    <xf numFmtId="0" fontId="4" fillId="40" borderId="0" xfId="0" applyFont="1" applyFill="1" applyAlignment="1">
      <alignment horizontal="left"/>
    </xf>
    <xf numFmtId="0" fontId="4" fillId="40" borderId="50" xfId="0" applyFont="1" applyFill="1" applyBorder="1" applyAlignment="1">
      <alignment horizontal="left"/>
    </xf>
    <xf numFmtId="4" fontId="84" fillId="0" borderId="36" xfId="46" applyNumberFormat="1" applyFont="1" applyFill="1" applyBorder="1" applyAlignment="1">
      <alignment horizontal="left"/>
    </xf>
    <xf numFmtId="0" fontId="89" fillId="0" borderId="0" xfId="21" applyFont="1" applyAlignment="1">
      <alignment horizontal="center"/>
    </xf>
    <xf numFmtId="0" fontId="4" fillId="33" borderId="0" xfId="0" applyFont="1" applyFill="1" applyAlignment="1" applyProtection="1">
      <alignment horizontal="left"/>
      <protection locked="0"/>
    </xf>
    <xf numFmtId="0" fontId="87" fillId="6" borderId="0" xfId="45" applyFont="1" applyFill="1"/>
    <xf numFmtId="4" fontId="66" fillId="6" borderId="0" xfId="1" applyFont="1" applyFill="1" applyBorder="1" applyProtection="1">
      <protection locked="0"/>
    </xf>
    <xf numFmtId="3" fontId="13" fillId="11" borderId="136" xfId="15" applyFont="1" applyFill="1" applyBorder="1" applyAlignment="1" applyProtection="1"/>
    <xf numFmtId="0" fontId="111" fillId="75" borderId="0" xfId="21" applyFont="1" applyFill="1" applyAlignment="1">
      <alignment horizontal="left"/>
    </xf>
    <xf numFmtId="4" fontId="111" fillId="6" borderId="0" xfId="46" applyNumberFormat="1" applyFont="1" applyFill="1" applyBorder="1" applyAlignment="1"/>
    <xf numFmtId="3" fontId="111" fillId="6" borderId="0" xfId="45" applyNumberFormat="1" applyFont="1" applyFill="1" applyAlignment="1">
      <alignment horizontal="left"/>
    </xf>
    <xf numFmtId="0" fontId="114" fillId="6" borderId="0" xfId="45" applyFont="1" applyFill="1"/>
    <xf numFmtId="0" fontId="75" fillId="6" borderId="0" xfId="45" applyFill="1" applyAlignment="1">
      <alignment horizontal="left"/>
    </xf>
    <xf numFmtId="4" fontId="75" fillId="6" borderId="0" xfId="45" applyNumberFormat="1" applyFill="1"/>
    <xf numFmtId="0" fontId="177" fillId="0" borderId="0" xfId="45" applyFont="1"/>
    <xf numFmtId="0" fontId="3" fillId="0" borderId="72" xfId="0" applyFont="1" applyBorder="1"/>
    <xf numFmtId="0" fontId="4" fillId="0" borderId="0" xfId="0" applyFont="1" applyAlignment="1">
      <alignment horizontal="left" wrapText="1"/>
    </xf>
    <xf numFmtId="0" fontId="29" fillId="77" borderId="0" xfId="0" applyFont="1" applyFill="1"/>
    <xf numFmtId="0" fontId="4" fillId="77" borderId="0" xfId="0" applyFont="1" applyFill="1"/>
    <xf numFmtId="0" fontId="0" fillId="77" borderId="0" xfId="0" applyFill="1"/>
    <xf numFmtId="0" fontId="4" fillId="62" borderId="0" xfId="0" applyFont="1" applyFill="1"/>
    <xf numFmtId="0" fontId="0" fillId="62" borderId="0" xfId="0" applyFill="1"/>
    <xf numFmtId="0" fontId="29" fillId="62" borderId="0" xfId="0" applyFont="1" applyFill="1"/>
    <xf numFmtId="0" fontId="29" fillId="63" borderId="0" xfId="0" applyFont="1" applyFill="1"/>
    <xf numFmtId="0" fontId="4" fillId="63" borderId="0" xfId="0" applyFont="1" applyFill="1"/>
    <xf numFmtId="0" fontId="0" fillId="63" borderId="0" xfId="0" applyFill="1"/>
    <xf numFmtId="0" fontId="29" fillId="42" borderId="0" xfId="0" applyFont="1" applyFill="1"/>
    <xf numFmtId="0" fontId="4" fillId="42" borderId="0" xfId="0" applyFont="1" applyFill="1"/>
    <xf numFmtId="0" fontId="0" fillId="42" borderId="0" xfId="0" applyFill="1"/>
    <xf numFmtId="0" fontId="29" fillId="67" borderId="0" xfId="0" applyFont="1" applyFill="1"/>
    <xf numFmtId="0" fontId="4" fillId="67" borderId="0" xfId="0" applyFont="1" applyFill="1"/>
    <xf numFmtId="0" fontId="0" fillId="67" borderId="0" xfId="0" applyFill="1"/>
    <xf numFmtId="0" fontId="179" fillId="10" borderId="0" xfId="0" applyFont="1" applyFill="1"/>
    <xf numFmtId="3" fontId="97" fillId="7" borderId="12" xfId="0" applyNumberFormat="1" applyFont="1" applyFill="1" applyBorder="1" applyAlignment="1">
      <alignment wrapText="1"/>
    </xf>
    <xf numFmtId="0" fontId="0" fillId="22" borderId="136" xfId="0" applyFill="1" applyBorder="1"/>
    <xf numFmtId="3" fontId="0" fillId="11" borderId="136" xfId="15" applyFont="1" applyFill="1" applyBorder="1" applyAlignment="1" applyProtection="1">
      <alignment horizontal="center" vertical="top" wrapText="1"/>
    </xf>
    <xf numFmtId="0" fontId="0" fillId="3" borderId="124" xfId="0" applyFill="1" applyBorder="1" applyAlignment="1">
      <alignment horizontal="center"/>
    </xf>
    <xf numFmtId="3" fontId="0" fillId="11" borderId="136" xfId="15" applyFont="1" applyFill="1" applyBorder="1" applyAlignment="1" applyProtection="1"/>
    <xf numFmtId="0" fontId="4" fillId="22" borderId="136" xfId="0" applyFont="1" applyFill="1" applyBorder="1"/>
    <xf numFmtId="3" fontId="34" fillId="33" borderId="142" xfId="0" applyNumberFormat="1" applyFont="1" applyFill="1" applyBorder="1" applyProtection="1">
      <protection locked="0"/>
    </xf>
    <xf numFmtId="3" fontId="102" fillId="33" borderId="143" xfId="11" applyFont="1" applyFill="1" applyBorder="1" applyAlignment="1" applyProtection="1">
      <protection locked="0"/>
    </xf>
    <xf numFmtId="3" fontId="34" fillId="33" borderId="144" xfId="0" applyNumberFormat="1" applyFont="1" applyFill="1" applyBorder="1" applyProtection="1">
      <protection locked="0"/>
    </xf>
    <xf numFmtId="3" fontId="21" fillId="33" borderId="145" xfId="11" applyFont="1" applyFill="1" applyBorder="1" applyAlignment="1" applyProtection="1">
      <protection locked="0"/>
    </xf>
    <xf numFmtId="3" fontId="13" fillId="11" borderId="71" xfId="0" applyNumberFormat="1" applyFont="1" applyFill="1" applyBorder="1"/>
    <xf numFmtId="3" fontId="130" fillId="11" borderId="146" xfId="0" applyNumberFormat="1" applyFont="1" applyFill="1" applyBorder="1"/>
    <xf numFmtId="3" fontId="13" fillId="11" borderId="147" xfId="0" applyNumberFormat="1" applyFont="1" applyFill="1" applyBorder="1"/>
    <xf numFmtId="3" fontId="13" fillId="11" borderId="148" xfId="0" applyNumberFormat="1" applyFont="1" applyFill="1" applyBorder="1"/>
    <xf numFmtId="3" fontId="34" fillId="33" borderId="149" xfId="0" applyNumberFormat="1" applyFont="1" applyFill="1" applyBorder="1" applyProtection="1">
      <protection locked="0"/>
    </xf>
    <xf numFmtId="3" fontId="34" fillId="33" borderId="150" xfId="0" applyNumberFormat="1" applyFont="1" applyFill="1" applyBorder="1" applyProtection="1">
      <protection locked="0"/>
    </xf>
    <xf numFmtId="3" fontId="102" fillId="33" borderId="151" xfId="11" applyFont="1" applyFill="1" applyBorder="1" applyAlignment="1" applyProtection="1">
      <protection locked="0"/>
    </xf>
    <xf numFmtId="3" fontId="34" fillId="33" borderId="152" xfId="0" applyNumberFormat="1" applyFont="1" applyFill="1" applyBorder="1" applyProtection="1">
      <protection locked="0"/>
    </xf>
    <xf numFmtId="3" fontId="21" fillId="33" borderId="153" xfId="11" applyFont="1" applyFill="1" applyBorder="1" applyAlignment="1" applyProtection="1">
      <protection locked="0"/>
    </xf>
    <xf numFmtId="3" fontId="21" fillId="33" borderId="7" xfId="0" applyNumberFormat="1" applyFont="1" applyFill="1" applyBorder="1" applyProtection="1">
      <protection locked="0"/>
    </xf>
    <xf numFmtId="3" fontId="21" fillId="33" borderId="112" xfId="0" applyNumberFormat="1" applyFont="1" applyFill="1" applyBorder="1" applyProtection="1">
      <protection locked="0"/>
    </xf>
    <xf numFmtId="3" fontId="144" fillId="33" borderId="154" xfId="0" applyNumberFormat="1" applyFont="1" applyFill="1" applyBorder="1" applyProtection="1">
      <protection locked="0"/>
    </xf>
    <xf numFmtId="3" fontId="21" fillId="33" borderId="155" xfId="0" applyNumberFormat="1" applyFont="1" applyFill="1" applyBorder="1" applyProtection="1">
      <protection locked="0"/>
    </xf>
    <xf numFmtId="3" fontId="21" fillId="33" borderId="156" xfId="0" applyNumberFormat="1" applyFont="1" applyFill="1" applyBorder="1" applyProtection="1">
      <protection locked="0"/>
    </xf>
    <xf numFmtId="3" fontId="13" fillId="11" borderId="4" xfId="0" applyNumberFormat="1" applyFont="1" applyFill="1" applyBorder="1"/>
    <xf numFmtId="3" fontId="130" fillId="11" borderId="4" xfId="0" applyNumberFormat="1" applyFont="1" applyFill="1" applyBorder="1"/>
    <xf numFmtId="3" fontId="13" fillId="11" borderId="157" xfId="0" applyNumberFormat="1" applyFont="1" applyFill="1" applyBorder="1"/>
    <xf numFmtId="3" fontId="21" fillId="33" borderId="149" xfId="0" applyNumberFormat="1" applyFont="1" applyFill="1" applyBorder="1" applyProtection="1">
      <protection locked="0"/>
    </xf>
    <xf numFmtId="3" fontId="21" fillId="33" borderId="150" xfId="0" applyNumberFormat="1" applyFont="1" applyFill="1" applyBorder="1" applyProtection="1">
      <protection locked="0"/>
    </xf>
    <xf numFmtId="3" fontId="102" fillId="33" borderId="158" xfId="11" applyFont="1" applyFill="1" applyBorder="1" applyAlignment="1" applyProtection="1">
      <protection locked="0"/>
    </xf>
    <xf numFmtId="3" fontId="34" fillId="33" borderId="158" xfId="0" applyNumberFormat="1" applyFont="1" applyFill="1" applyBorder="1" applyProtection="1">
      <protection locked="0"/>
    </xf>
    <xf numFmtId="3" fontId="13" fillId="11" borderId="159" xfId="0" applyNumberFormat="1" applyFont="1" applyFill="1" applyBorder="1"/>
    <xf numFmtId="3" fontId="21" fillId="33" borderId="158" xfId="0" applyNumberFormat="1" applyFont="1" applyFill="1" applyBorder="1" applyProtection="1">
      <protection locked="0"/>
    </xf>
    <xf numFmtId="3" fontId="13" fillId="11" borderId="149" xfId="0" applyNumberFormat="1" applyFont="1" applyFill="1" applyBorder="1"/>
    <xf numFmtId="3" fontId="13" fillId="11" borderId="150" xfId="0" applyNumberFormat="1" applyFont="1" applyFill="1" applyBorder="1"/>
    <xf numFmtId="3" fontId="13" fillId="11" borderId="158" xfId="0" applyNumberFormat="1" applyFont="1" applyFill="1" applyBorder="1"/>
    <xf numFmtId="3" fontId="21" fillId="33" borderId="158" xfId="11" applyFont="1" applyFill="1" applyBorder="1" applyAlignment="1" applyProtection="1">
      <protection locked="0"/>
    </xf>
    <xf numFmtId="3" fontId="13" fillId="11" borderId="160" xfId="0" applyNumberFormat="1" applyFont="1" applyFill="1" applyBorder="1"/>
    <xf numFmtId="3" fontId="21" fillId="33" borderId="5" xfId="11" applyFont="1" applyFill="1" applyBorder="1" applyAlignment="1" applyProtection="1">
      <protection locked="0"/>
    </xf>
    <xf numFmtId="3" fontId="21" fillId="33" borderId="71" xfId="11" applyFont="1" applyFill="1" applyBorder="1" applyAlignment="1" applyProtection="1">
      <protection locked="0"/>
    </xf>
    <xf numFmtId="3" fontId="13" fillId="11" borderId="149" xfId="11" applyFont="1" applyFill="1" applyBorder="1" applyAlignment="1" applyProtection="1"/>
    <xf numFmtId="3" fontId="13" fillId="11" borderId="150" xfId="11" applyFont="1" applyFill="1" applyBorder="1" applyAlignment="1" applyProtection="1"/>
    <xf numFmtId="3" fontId="13" fillId="11" borderId="153" xfId="11" applyFont="1" applyFill="1" applyBorder="1" applyAlignment="1" applyProtection="1"/>
    <xf numFmtId="3" fontId="21" fillId="33" borderId="111" xfId="11" applyFont="1" applyFill="1" applyBorder="1" applyAlignment="1" applyProtection="1">
      <protection locked="0"/>
    </xf>
    <xf numFmtId="3" fontId="13" fillId="11" borderId="4" xfId="1" applyNumberFormat="1" applyFont="1" applyFill="1" applyBorder="1" applyAlignment="1" applyProtection="1"/>
    <xf numFmtId="3" fontId="21" fillId="33" borderId="149" xfId="11" applyFont="1" applyFill="1" applyBorder="1" applyAlignment="1" applyProtection="1">
      <protection locked="0"/>
    </xf>
    <xf numFmtId="3" fontId="21" fillId="33" borderId="150" xfId="11" applyFont="1" applyFill="1" applyBorder="1" applyAlignment="1" applyProtection="1">
      <protection locked="0"/>
    </xf>
    <xf numFmtId="3" fontId="13" fillId="11" borderId="7" xfId="11" applyFont="1" applyFill="1" applyBorder="1" applyAlignment="1" applyProtection="1"/>
    <xf numFmtId="3" fontId="13" fillId="11" borderId="17" xfId="11" applyFont="1" applyFill="1" applyBorder="1" applyAlignment="1" applyProtection="1"/>
    <xf numFmtId="3" fontId="21" fillId="33" borderId="161" xfId="11" applyFont="1" applyFill="1" applyBorder="1" applyAlignment="1" applyProtection="1">
      <protection locked="0"/>
    </xf>
    <xf numFmtId="3" fontId="21" fillId="33" borderId="118" xfId="11" applyFont="1" applyFill="1" applyBorder="1" applyAlignment="1" applyProtection="1">
      <protection locked="0"/>
    </xf>
    <xf numFmtId="3" fontId="13" fillId="11" borderId="162" xfId="1" applyNumberFormat="1" applyFont="1" applyFill="1" applyBorder="1" applyAlignment="1" applyProtection="1"/>
    <xf numFmtId="3" fontId="13" fillId="11" borderId="160" xfId="1" applyNumberFormat="1" applyFont="1" applyFill="1" applyBorder="1" applyAlignment="1" applyProtection="1"/>
    <xf numFmtId="3" fontId="24" fillId="11" borderId="136" xfId="15" applyFont="1" applyFill="1" applyBorder="1" applyAlignment="1" applyProtection="1"/>
    <xf numFmtId="3" fontId="21" fillId="33" borderId="9" xfId="11" applyFont="1" applyFill="1" applyBorder="1" applyAlignment="1" applyProtection="1">
      <protection locked="0"/>
    </xf>
    <xf numFmtId="3" fontId="13" fillId="11" borderId="9" xfId="11" applyFont="1" applyFill="1" applyBorder="1" applyAlignment="1" applyProtection="1"/>
    <xf numFmtId="3" fontId="21" fillId="33" borderId="163" xfId="11" applyFont="1" applyFill="1" applyBorder="1" applyAlignment="1" applyProtection="1">
      <protection locked="0"/>
    </xf>
    <xf numFmtId="3" fontId="13" fillId="11" borderId="163" xfId="11" applyFont="1" applyFill="1" applyBorder="1" applyAlignment="1" applyProtection="1"/>
    <xf numFmtId="49" fontId="97" fillId="0" borderId="0" xfId="45" applyNumberFormat="1" applyFont="1"/>
    <xf numFmtId="0" fontId="102" fillId="0" borderId="23" xfId="0" applyFont="1" applyBorder="1" applyAlignment="1">
      <alignment wrapText="1"/>
    </xf>
    <xf numFmtId="0" fontId="131" fillId="11" borderId="16" xfId="0" applyFont="1" applyFill="1" applyBorder="1" applyAlignment="1">
      <alignment wrapText="1"/>
    </xf>
    <xf numFmtId="0" fontId="131" fillId="11" borderId="14" xfId="0" applyFont="1" applyFill="1" applyBorder="1" applyAlignment="1">
      <alignment wrapText="1"/>
    </xf>
    <xf numFmtId="0" fontId="101" fillId="6" borderId="0" xfId="0" applyFont="1" applyFill="1" applyAlignment="1">
      <alignment horizontal="left"/>
    </xf>
    <xf numFmtId="0" fontId="101" fillId="6" borderId="50" xfId="0" applyFont="1" applyFill="1" applyBorder="1" applyAlignment="1">
      <alignment horizontal="left"/>
    </xf>
    <xf numFmtId="0" fontId="101" fillId="7" borderId="121" xfId="10" applyNumberFormat="1" applyFont="1" applyFill="1" applyBorder="1" applyAlignment="1">
      <alignment horizontal="right"/>
    </xf>
    <xf numFmtId="0" fontId="101" fillId="33" borderId="121" xfId="10" applyNumberFormat="1" applyFont="1" applyFill="1" applyBorder="1" applyAlignment="1" applyProtection="1">
      <alignment horizontal="right"/>
      <protection locked="0"/>
    </xf>
    <xf numFmtId="0" fontId="101" fillId="7" borderId="121" xfId="0" applyFont="1" applyFill="1" applyBorder="1" applyAlignment="1">
      <alignment horizontal="right"/>
    </xf>
    <xf numFmtId="0" fontId="103" fillId="33" borderId="121" xfId="0" applyFont="1" applyFill="1" applyBorder="1" applyAlignment="1" applyProtection="1">
      <alignment horizontal="right"/>
      <protection locked="0"/>
    </xf>
    <xf numFmtId="0" fontId="101" fillId="36" borderId="121" xfId="17" applyNumberFormat="1" applyFont="1" applyFill="1" applyBorder="1" applyAlignment="1" applyProtection="1">
      <alignment horizontal="right"/>
      <protection locked="0"/>
    </xf>
    <xf numFmtId="0" fontId="0" fillId="0" borderId="164" xfId="0" applyBorder="1"/>
    <xf numFmtId="0" fontId="72" fillId="19" borderId="51" xfId="14" applyNumberFormat="1" applyFont="1" applyFill="1" applyBorder="1" applyAlignment="1" applyProtection="1">
      <alignment horizontal="center" wrapText="1"/>
    </xf>
    <xf numFmtId="0" fontId="0" fillId="18" borderId="166" xfId="0" applyFill="1" applyBorder="1" applyAlignment="1">
      <alignment vertical="top" wrapText="1"/>
    </xf>
    <xf numFmtId="0" fontId="16" fillId="18" borderId="57" xfId="0" applyFont="1" applyFill="1" applyBorder="1" applyAlignment="1">
      <alignment horizontal="center" vertical="top" wrapText="1"/>
    </xf>
    <xf numFmtId="0" fontId="72" fillId="10" borderId="51" xfId="0" applyFont="1" applyFill="1" applyBorder="1" applyAlignment="1">
      <alignment horizontal="center"/>
    </xf>
    <xf numFmtId="0" fontId="68" fillId="10" borderId="167" xfId="0" applyFont="1" applyFill="1" applyBorder="1"/>
    <xf numFmtId="3" fontId="68" fillId="10" borderId="165" xfId="15" applyFont="1" applyFill="1" applyBorder="1" applyAlignment="1" applyProtection="1">
      <protection locked="0"/>
    </xf>
    <xf numFmtId="3" fontId="68" fillId="10" borderId="165" xfId="15" applyFont="1" applyFill="1" applyBorder="1" applyAlignment="1" applyProtection="1"/>
    <xf numFmtId="3" fontId="68" fillId="18" borderId="168" xfId="2" applyNumberFormat="1" applyFont="1" applyFill="1" applyBorder="1" applyAlignment="1" applyProtection="1"/>
    <xf numFmtId="0" fontId="72" fillId="11" borderId="51" xfId="0" applyFont="1" applyFill="1" applyBorder="1" applyAlignment="1">
      <alignment horizontal="center"/>
    </xf>
    <xf numFmtId="0" fontId="2" fillId="7" borderId="51" xfId="0" applyFont="1" applyFill="1" applyBorder="1"/>
    <xf numFmtId="3" fontId="66" fillId="10" borderId="165" xfId="2" applyNumberFormat="1" applyFont="1" applyFill="1" applyBorder="1" applyAlignment="1" applyProtection="1"/>
    <xf numFmtId="3" fontId="0" fillId="16" borderId="57" xfId="2" applyNumberFormat="1" applyFont="1" applyFill="1" applyBorder="1" applyAlignment="1" applyProtection="1"/>
    <xf numFmtId="0" fontId="2" fillId="7" borderId="49" xfId="0" applyFont="1" applyFill="1" applyBorder="1"/>
    <xf numFmtId="3" fontId="38" fillId="7" borderId="164" xfId="0" applyNumberFormat="1" applyFont="1" applyFill="1" applyBorder="1"/>
    <xf numFmtId="3" fontId="41" fillId="7" borderId="57" xfId="0" applyNumberFormat="1" applyFont="1" applyFill="1" applyBorder="1"/>
    <xf numFmtId="0" fontId="38" fillId="7" borderId="164" xfId="21" applyFont="1" applyFill="1" applyBorder="1"/>
    <xf numFmtId="3" fontId="38" fillId="7" borderId="57" xfId="22" applyNumberFormat="1" applyFont="1" applyFill="1" applyBorder="1"/>
    <xf numFmtId="3" fontId="38" fillId="7" borderId="57" xfId="21" applyNumberFormat="1" applyFont="1" applyFill="1" applyBorder="1"/>
    <xf numFmtId="3" fontId="41" fillId="7" borderId="57" xfId="21" applyNumberFormat="1" applyFont="1" applyFill="1" applyBorder="1"/>
    <xf numFmtId="3" fontId="0" fillId="7" borderId="57" xfId="21" applyNumberFormat="1" applyFont="1" applyFill="1" applyBorder="1"/>
    <xf numFmtId="0" fontId="2" fillId="16" borderId="0" xfId="21" applyFont="1" applyFill="1" applyAlignment="1">
      <alignment horizontal="right"/>
    </xf>
    <xf numFmtId="0" fontId="63" fillId="9" borderId="164" xfId="21" applyFont="1" applyFill="1" applyBorder="1"/>
    <xf numFmtId="3" fontId="66" fillId="10" borderId="57" xfId="21" applyNumberFormat="1" applyFont="1" applyFill="1" applyBorder="1"/>
    <xf numFmtId="0" fontId="0" fillId="7" borderId="164" xfId="21" applyFont="1" applyFill="1" applyBorder="1"/>
    <xf numFmtId="0" fontId="22" fillId="27" borderId="164" xfId="21" applyFont="1" applyFill="1" applyBorder="1"/>
    <xf numFmtId="3" fontId="0" fillId="7" borderId="164" xfId="15" applyFont="1" applyFill="1" applyBorder="1" applyAlignment="1" applyProtection="1"/>
    <xf numFmtId="3" fontId="2" fillId="7" borderId="0" xfId="15" applyFont="1" applyFill="1" applyBorder="1" applyAlignment="1" applyProtection="1">
      <alignment horizontal="right"/>
    </xf>
    <xf numFmtId="0" fontId="2" fillId="7" borderId="0" xfId="21" applyFont="1" applyFill="1" applyAlignment="1">
      <alignment horizontal="left"/>
    </xf>
    <xf numFmtId="3" fontId="2" fillId="7" borderId="164" xfId="15" applyFont="1" applyFill="1" applyBorder="1" applyAlignment="1" applyProtection="1"/>
    <xf numFmtId="3" fontId="0" fillId="14" borderId="164" xfId="15" applyFont="1" applyFill="1" applyBorder="1" applyAlignment="1" applyProtection="1"/>
    <xf numFmtId="0" fontId="0" fillId="14" borderId="57" xfId="21" applyFont="1" applyFill="1" applyBorder="1"/>
    <xf numFmtId="3" fontId="2" fillId="10" borderId="0" xfId="15" applyFont="1" applyFill="1" applyBorder="1" applyAlignment="1" applyProtection="1"/>
    <xf numFmtId="3" fontId="40" fillId="7" borderId="57" xfId="0" applyNumberFormat="1" applyFont="1" applyFill="1" applyBorder="1"/>
    <xf numFmtId="0" fontId="13" fillId="7" borderId="57" xfId="21" applyFont="1" applyFill="1" applyBorder="1"/>
    <xf numFmtId="3" fontId="40" fillId="7" borderId="57" xfId="22" applyNumberFormat="1" applyFont="1" applyFill="1" applyBorder="1"/>
    <xf numFmtId="3" fontId="40" fillId="7" borderId="57" xfId="21" applyNumberFormat="1" applyFont="1" applyFill="1" applyBorder="1"/>
    <xf numFmtId="3" fontId="13" fillId="7" borderId="57" xfId="21" applyNumberFormat="1" applyFont="1" applyFill="1" applyBorder="1"/>
    <xf numFmtId="0" fontId="63" fillId="12" borderId="164" xfId="21" applyFont="1" applyFill="1" applyBorder="1"/>
    <xf numFmtId="3" fontId="13" fillId="13" borderId="57" xfId="21" applyNumberFormat="1" applyFont="1" applyFill="1" applyBorder="1"/>
    <xf numFmtId="0" fontId="30" fillId="34" borderId="164" xfId="21" applyFont="1" applyFill="1" applyBorder="1" applyAlignment="1">
      <alignment horizontal="center"/>
    </xf>
    <xf numFmtId="3" fontId="40" fillId="7" borderId="50" xfId="21" applyNumberFormat="1" applyFont="1" applyFill="1" applyBorder="1"/>
    <xf numFmtId="0" fontId="2" fillId="10" borderId="0" xfId="21" applyFont="1" applyFill="1"/>
    <xf numFmtId="3" fontId="2" fillId="11" borderId="136" xfId="15" applyFont="1" applyFill="1" applyBorder="1" applyAlignment="1" applyProtection="1">
      <alignment horizontal="center"/>
    </xf>
    <xf numFmtId="3" fontId="2" fillId="11" borderId="50" xfId="15" applyFont="1" applyFill="1" applyBorder="1" applyAlignment="1" applyProtection="1">
      <alignment horizontal="center"/>
    </xf>
    <xf numFmtId="3" fontId="2" fillId="0" borderId="0" xfId="15" applyFont="1" applyFill="1" applyBorder="1" applyAlignment="1" applyProtection="1">
      <alignment horizontal="center"/>
    </xf>
    <xf numFmtId="3" fontId="13" fillId="11" borderId="136" xfId="15" applyFont="1" applyFill="1" applyBorder="1" applyAlignment="1" applyProtection="1">
      <alignment horizontal="center" vertical="top" wrapText="1"/>
    </xf>
    <xf numFmtId="3" fontId="13" fillId="33" borderId="125" xfId="15" applyFont="1" applyFill="1" applyBorder="1" applyAlignment="1" applyProtection="1">
      <protection locked="0"/>
    </xf>
    <xf numFmtId="49" fontId="3" fillId="11" borderId="130" xfId="15" applyNumberFormat="1" applyFont="1" applyFill="1" applyBorder="1" applyAlignment="1" applyProtection="1">
      <alignment horizontal="center"/>
    </xf>
    <xf numFmtId="3" fontId="2" fillId="0" borderId="0" xfId="15" applyFont="1" applyFill="1" applyBorder="1" applyAlignment="1" applyProtection="1"/>
    <xf numFmtId="3" fontId="0" fillId="11" borderId="130" xfId="15" applyFont="1" applyFill="1" applyBorder="1" applyAlignment="1" applyProtection="1">
      <alignment horizontal="center"/>
    </xf>
    <xf numFmtId="49" fontId="0" fillId="11" borderId="130" xfId="15" applyNumberFormat="1" applyFont="1" applyFill="1" applyBorder="1" applyAlignment="1" applyProtection="1">
      <alignment horizontal="center"/>
    </xf>
    <xf numFmtId="0" fontId="97" fillId="33" borderId="136" xfId="45" applyFont="1" applyFill="1" applyBorder="1" applyAlignment="1" applyProtection="1">
      <alignment horizontal="center"/>
      <protection locked="0"/>
    </xf>
    <xf numFmtId="4" fontId="152" fillId="10" borderId="136" xfId="46" applyNumberFormat="1" applyFont="1" applyFill="1" applyBorder="1" applyAlignment="1"/>
    <xf numFmtId="0" fontId="4" fillId="0" borderId="136" xfId="0" applyFont="1" applyBorder="1" applyAlignment="1">
      <alignment horizontal="center"/>
    </xf>
    <xf numFmtId="3" fontId="38" fillId="21" borderId="137" xfId="15" applyFont="1" applyFill="1" applyBorder="1" applyAlignment="1" applyProtection="1">
      <alignment horizontal="center" wrapText="1"/>
    </xf>
    <xf numFmtId="3" fontId="4" fillId="3" borderId="137" xfId="15" applyFont="1" applyFill="1" applyBorder="1" applyAlignment="1" applyProtection="1">
      <alignment horizontal="center" vertical="center" wrapText="1"/>
    </xf>
    <xf numFmtId="3" fontId="4" fillId="11" borderId="170" xfId="15" applyFont="1" applyFill="1" applyBorder="1" applyAlignment="1" applyProtection="1">
      <alignment horizontal="center"/>
    </xf>
    <xf numFmtId="49" fontId="4" fillId="11" borderId="170" xfId="15" applyNumberFormat="1" applyFont="1" applyFill="1" applyBorder="1" applyAlignment="1" applyProtection="1">
      <alignment horizontal="center"/>
    </xf>
    <xf numFmtId="3" fontId="4" fillId="11" borderId="136" xfId="15" applyFont="1" applyFill="1" applyBorder="1" applyAlignment="1" applyProtection="1"/>
    <xf numFmtId="3" fontId="64" fillId="10" borderId="171" xfId="15" applyFont="1" applyFill="1" applyBorder="1" applyAlignment="1" applyProtection="1"/>
    <xf numFmtId="3" fontId="64" fillId="10" borderId="137" xfId="15" applyFont="1" applyFill="1" applyBorder="1" applyAlignment="1" applyProtection="1"/>
    <xf numFmtId="3" fontId="64" fillId="10" borderId="125" xfId="15" applyFont="1" applyFill="1" applyBorder="1" applyAlignment="1" applyProtection="1"/>
    <xf numFmtId="3" fontId="64" fillId="10" borderId="164" xfId="15" applyFont="1" applyFill="1" applyBorder="1" applyAlignment="1" applyProtection="1"/>
    <xf numFmtId="0" fontId="132" fillId="11" borderId="174" xfId="0" applyFont="1" applyFill="1" applyBorder="1" applyAlignment="1">
      <alignment horizontal="center"/>
    </xf>
    <xf numFmtId="3" fontId="34" fillId="33" borderId="175" xfId="1" applyNumberFormat="1" applyFont="1" applyFill="1" applyBorder="1" applyAlignment="1" applyProtection="1">
      <protection locked="0"/>
    </xf>
    <xf numFmtId="0" fontId="68" fillId="10" borderId="164" xfId="0" applyFont="1" applyFill="1" applyBorder="1" applyAlignment="1">
      <alignment horizontal="left"/>
    </xf>
    <xf numFmtId="0" fontId="6" fillId="3" borderId="136" xfId="0" applyFont="1" applyFill="1" applyBorder="1" applyAlignment="1">
      <alignment horizontal="center" vertical="top" wrapText="1"/>
    </xf>
    <xf numFmtId="1" fontId="0" fillId="3" borderId="164" xfId="2" applyNumberFormat="1" applyFont="1" applyFill="1" applyBorder="1" applyAlignment="1" applyProtection="1">
      <alignment horizontal="center" vertical="top" wrapText="1"/>
    </xf>
    <xf numFmtId="1" fontId="23" fillId="3" borderId="165" xfId="15" applyNumberFormat="1" applyFont="1" applyFill="1" applyBorder="1" applyAlignment="1" applyProtection="1">
      <alignment horizontal="center" vertical="top" wrapText="1"/>
    </xf>
    <xf numFmtId="0" fontId="6" fillId="16" borderId="177" xfId="0" applyFont="1" applyFill="1" applyBorder="1" applyAlignment="1">
      <alignment horizontal="center" vertical="top" wrapText="1"/>
    </xf>
    <xf numFmtId="0" fontId="0" fillId="7" borderId="136" xfId="0" applyFill="1" applyBorder="1" applyAlignment="1">
      <alignment horizontal="center"/>
    </xf>
    <xf numFmtId="0" fontId="0" fillId="8" borderId="136" xfId="0" applyFill="1" applyBorder="1" applyAlignment="1">
      <alignment horizontal="center"/>
    </xf>
    <xf numFmtId="3" fontId="68" fillId="10" borderId="168" xfId="15" applyFont="1" applyFill="1" applyBorder="1" applyAlignment="1" applyProtection="1"/>
    <xf numFmtId="3" fontId="2" fillId="0" borderId="13" xfId="15" applyFont="1" applyFill="1" applyBorder="1" applyAlignment="1" applyProtection="1">
      <alignment horizontal="center"/>
    </xf>
    <xf numFmtId="0" fontId="101" fillId="6" borderId="51" xfId="0" applyFont="1" applyFill="1" applyBorder="1" applyAlignment="1">
      <alignment horizontal="left"/>
    </xf>
    <xf numFmtId="0" fontId="180" fillId="6" borderId="51" xfId="0" applyFont="1" applyFill="1" applyBorder="1" applyAlignment="1">
      <alignment horizontal="left"/>
    </xf>
    <xf numFmtId="0" fontId="38" fillId="40" borderId="51" xfId="0" applyFont="1" applyFill="1" applyBorder="1" applyAlignment="1">
      <alignment horizontal="left"/>
    </xf>
    <xf numFmtId="0" fontId="4" fillId="40" borderId="51" xfId="0" applyFont="1" applyFill="1" applyBorder="1" applyAlignment="1">
      <alignment horizontal="left"/>
    </xf>
    <xf numFmtId="0" fontId="88" fillId="40" borderId="51" xfId="0" applyFont="1" applyFill="1" applyBorder="1" applyAlignment="1">
      <alignment horizontal="left"/>
    </xf>
    <xf numFmtId="183" fontId="3" fillId="7" borderId="176" xfId="0" applyNumberFormat="1" applyFont="1" applyFill="1" applyBorder="1" applyAlignment="1">
      <alignment horizontal="right" wrapText="1"/>
    </xf>
    <xf numFmtId="0" fontId="3" fillId="0" borderId="180" xfId="0" applyFont="1" applyBorder="1" applyAlignment="1">
      <alignment vertical="top" wrapText="1"/>
    </xf>
    <xf numFmtId="0" fontId="5" fillId="33" borderId="173" xfId="0" applyFont="1" applyFill="1" applyBorder="1" applyAlignment="1" applyProtection="1">
      <alignment horizontal="center"/>
      <protection locked="0"/>
    </xf>
    <xf numFmtId="0" fontId="0" fillId="7" borderId="170" xfId="0" applyFill="1" applyBorder="1"/>
    <xf numFmtId="0" fontId="68" fillId="53" borderId="172" xfId="0" applyFont="1" applyFill="1" applyBorder="1"/>
    <xf numFmtId="0" fontId="171" fillId="53" borderId="172" xfId="0" applyFont="1" applyFill="1" applyBorder="1"/>
    <xf numFmtId="0" fontId="171" fillId="53" borderId="173" xfId="0" applyFont="1" applyFill="1" applyBorder="1"/>
    <xf numFmtId="3" fontId="2" fillId="51" borderId="172" xfId="0" applyNumberFormat="1" applyFont="1" applyFill="1" applyBorder="1" applyProtection="1">
      <protection locked="0"/>
    </xf>
    <xf numFmtId="3" fontId="0" fillId="11" borderId="170" xfId="15" applyFont="1" applyFill="1" applyBorder="1" applyAlignment="1" applyProtection="1">
      <alignment horizontal="center"/>
    </xf>
    <xf numFmtId="3" fontId="3" fillId="11" borderId="170" xfId="15" applyFont="1" applyFill="1" applyBorder="1" applyAlignment="1" applyProtection="1">
      <alignment horizontal="center"/>
    </xf>
    <xf numFmtId="49" fontId="3" fillId="11" borderId="170" xfId="15" applyNumberFormat="1" applyFont="1" applyFill="1" applyBorder="1" applyAlignment="1" applyProtection="1">
      <alignment horizontal="center"/>
    </xf>
    <xf numFmtId="49" fontId="0" fillId="11" borderId="170" xfId="15" applyNumberFormat="1" applyFont="1" applyFill="1" applyBorder="1" applyAlignment="1" applyProtection="1">
      <alignment horizontal="center"/>
    </xf>
    <xf numFmtId="3" fontId="0" fillId="11" borderId="185" xfId="15" applyFont="1" applyFill="1" applyBorder="1" applyAlignment="1" applyProtection="1"/>
    <xf numFmtId="3" fontId="0" fillId="11" borderId="186" xfId="15" applyFont="1" applyFill="1" applyBorder="1" applyAlignment="1" applyProtection="1"/>
    <xf numFmtId="3" fontId="0" fillId="11" borderId="187" xfId="15" applyFont="1" applyFill="1" applyBorder="1" applyAlignment="1" applyProtection="1"/>
    <xf numFmtId="3" fontId="21" fillId="33" borderId="188" xfId="11" applyFont="1" applyFill="1" applyBorder="1" applyAlignment="1" applyProtection="1">
      <protection locked="0"/>
    </xf>
    <xf numFmtId="3" fontId="13" fillId="11" borderId="188" xfId="11" applyFont="1" applyFill="1" applyBorder="1" applyAlignment="1" applyProtection="1"/>
    <xf numFmtId="3" fontId="0" fillId="11" borderId="189" xfId="15" applyFont="1" applyFill="1" applyBorder="1" applyAlignment="1" applyProtection="1"/>
    <xf numFmtId="3" fontId="27" fillId="3" borderId="185" xfId="0" applyNumberFormat="1" applyFont="1" applyFill="1" applyBorder="1"/>
    <xf numFmtId="3" fontId="27" fillId="3" borderId="184" xfId="0" applyNumberFormat="1" applyFont="1" applyFill="1" applyBorder="1"/>
    <xf numFmtId="3" fontId="66" fillId="10" borderId="183" xfId="1" applyNumberFormat="1" applyFont="1" applyFill="1" applyBorder="1" applyAlignment="1" applyProtection="1"/>
    <xf numFmtId="3" fontId="66" fillId="10" borderId="190" xfId="1" applyNumberFormat="1" applyFont="1" applyFill="1" applyBorder="1" applyAlignment="1" applyProtection="1"/>
    <xf numFmtId="0" fontId="0" fillId="3" borderId="184" xfId="0" applyFill="1" applyBorder="1"/>
    <xf numFmtId="0" fontId="79" fillId="7" borderId="184" xfId="45" applyFont="1" applyFill="1" applyBorder="1"/>
    <xf numFmtId="3" fontId="152" fillId="10" borderId="186" xfId="45" applyNumberFormat="1" applyFont="1" applyFill="1" applyBorder="1" applyAlignment="1">
      <alignment horizontal="left"/>
    </xf>
    <xf numFmtId="0" fontId="97" fillId="7" borderId="170" xfId="0" applyFont="1" applyFill="1" applyBorder="1"/>
    <xf numFmtId="3" fontId="152" fillId="10" borderId="195" xfId="0" applyNumberFormat="1" applyFont="1" applyFill="1" applyBorder="1"/>
    <xf numFmtId="0" fontId="97" fillId="7" borderId="196" xfId="45" applyFont="1" applyFill="1" applyBorder="1"/>
    <xf numFmtId="3" fontId="153" fillId="33" borderId="197" xfId="0" applyNumberFormat="1" applyFont="1" applyFill="1" applyBorder="1" applyProtection="1">
      <protection locked="0"/>
    </xf>
    <xf numFmtId="0" fontId="97" fillId="7" borderId="199" xfId="45" applyFont="1" applyFill="1" applyBorder="1" applyAlignment="1">
      <alignment horizontal="center"/>
    </xf>
    <xf numFmtId="0" fontId="75" fillId="0" borderId="196" xfId="45" applyBorder="1"/>
    <xf numFmtId="0" fontId="151" fillId="33" borderId="199" xfId="45" applyFont="1" applyFill="1" applyBorder="1" applyAlignment="1" applyProtection="1">
      <alignment horizontal="center" wrapText="1"/>
      <protection locked="0"/>
    </xf>
    <xf numFmtId="0" fontId="151" fillId="33" borderId="191" xfId="45" applyFont="1" applyFill="1" applyBorder="1" applyAlignment="1" applyProtection="1">
      <alignment horizontal="center"/>
      <protection locked="0"/>
    </xf>
    <xf numFmtId="0" fontId="151" fillId="33" borderId="184" xfId="45" applyFont="1" applyFill="1" applyBorder="1" applyAlignment="1" applyProtection="1">
      <alignment horizontal="center"/>
      <protection locked="0"/>
    </xf>
    <xf numFmtId="0" fontId="97" fillId="49" borderId="202" xfId="0" applyFont="1" applyFill="1" applyBorder="1" applyAlignment="1" applyProtection="1">
      <alignment horizontal="center"/>
      <protection locked="0"/>
    </xf>
    <xf numFmtId="0" fontId="97" fillId="49" borderId="203" xfId="0" applyFont="1" applyFill="1" applyBorder="1" applyAlignment="1" applyProtection="1">
      <alignment horizontal="center"/>
      <protection locked="0"/>
    </xf>
    <xf numFmtId="0" fontId="97" fillId="7" borderId="191" xfId="45" applyFont="1" applyFill="1" applyBorder="1" applyAlignment="1">
      <alignment horizontal="center"/>
    </xf>
    <xf numFmtId="0" fontId="97" fillId="7" borderId="186" xfId="45" applyFont="1" applyFill="1" applyBorder="1" applyAlignment="1">
      <alignment horizontal="center"/>
    </xf>
    <xf numFmtId="0" fontId="97" fillId="7" borderId="185" xfId="45" applyFont="1" applyFill="1" applyBorder="1" applyAlignment="1">
      <alignment horizontal="center"/>
    </xf>
    <xf numFmtId="0" fontId="97" fillId="7" borderId="184" xfId="45" applyFont="1" applyFill="1" applyBorder="1" applyAlignment="1">
      <alignment horizontal="center"/>
    </xf>
    <xf numFmtId="0" fontId="97" fillId="7" borderId="207" xfId="0" applyFont="1" applyFill="1" applyBorder="1"/>
    <xf numFmtId="0" fontId="30" fillId="0" borderId="196" xfId="0" applyFont="1" applyBorder="1" applyAlignment="1">
      <alignment horizontal="center"/>
    </xf>
    <xf numFmtId="0" fontId="30" fillId="0" borderId="196" xfId="0" applyFont="1" applyBorder="1" applyAlignment="1">
      <alignment horizontal="left"/>
    </xf>
    <xf numFmtId="0" fontId="30" fillId="0" borderId="196" xfId="0" applyFont="1" applyBorder="1"/>
    <xf numFmtId="0" fontId="38" fillId="0" borderId="184" xfId="0" applyFont="1" applyBorder="1" applyAlignment="1">
      <alignment horizontal="center"/>
    </xf>
    <xf numFmtId="0" fontId="3" fillId="0" borderId="173" xfId="0" applyFont="1" applyBorder="1" applyAlignment="1">
      <alignment horizontal="center" wrapText="1"/>
    </xf>
    <xf numFmtId="0" fontId="132" fillId="11" borderId="173" xfId="0" applyFont="1" applyFill="1" applyBorder="1" applyAlignment="1">
      <alignment horizontal="center"/>
    </xf>
    <xf numFmtId="0" fontId="70" fillId="10" borderId="190" xfId="0" applyFont="1" applyFill="1" applyBorder="1" applyAlignment="1">
      <alignment horizontal="left"/>
    </xf>
    <xf numFmtId="0" fontId="64" fillId="18" borderId="190" xfId="0" applyFont="1" applyFill="1" applyBorder="1"/>
    <xf numFmtId="3" fontId="64" fillId="10" borderId="209" xfId="1" applyNumberFormat="1" applyFont="1" applyFill="1" applyBorder="1" applyAlignment="1" applyProtection="1"/>
    <xf numFmtId="3" fontId="64" fillId="24" borderId="210" xfId="1" applyNumberFormat="1" applyFont="1" applyFill="1" applyBorder="1" applyAlignment="1" applyProtection="1"/>
    <xf numFmtId="0" fontId="4" fillId="0" borderId="212" xfId="0" applyFont="1" applyBorder="1" applyAlignment="1">
      <alignment horizontal="center"/>
    </xf>
    <xf numFmtId="0" fontId="64" fillId="18" borderId="196" xfId="0" applyFont="1" applyFill="1" applyBorder="1" applyAlignment="1">
      <alignment horizontal="left"/>
    </xf>
    <xf numFmtId="0" fontId="70" fillId="10" borderId="211" xfId="0" applyFont="1" applyFill="1" applyBorder="1"/>
    <xf numFmtId="3" fontId="70" fillId="10" borderId="183" xfId="0" applyNumberFormat="1" applyFont="1" applyFill="1" applyBorder="1"/>
    <xf numFmtId="3" fontId="137" fillId="49" borderId="213" xfId="0" applyNumberFormat="1" applyFont="1" applyFill="1" applyBorder="1" applyProtection="1">
      <protection locked="0"/>
    </xf>
    <xf numFmtId="0" fontId="0" fillId="0" borderId="196" xfId="0" applyBorder="1"/>
    <xf numFmtId="3" fontId="4" fillId="3" borderId="185" xfId="15" applyFont="1" applyFill="1" applyBorder="1" applyAlignment="1" applyProtection="1">
      <alignment horizontal="center" vertical="center" wrapText="1"/>
    </xf>
    <xf numFmtId="3" fontId="70" fillId="26" borderId="196" xfId="15" applyFont="1" applyFill="1" applyBorder="1" applyAlignment="1" applyProtection="1">
      <alignment horizontal="left"/>
    </xf>
    <xf numFmtId="3" fontId="70" fillId="6" borderId="196" xfId="1" applyNumberFormat="1" applyFont="1" applyFill="1" applyBorder="1" applyAlignment="1" applyProtection="1"/>
    <xf numFmtId="3" fontId="64" fillId="6" borderId="196" xfId="15" applyFont="1" applyFill="1" applyBorder="1" applyAlignment="1" applyProtection="1"/>
    <xf numFmtId="3" fontId="4" fillId="6" borderId="184" xfId="15" applyFont="1" applyFill="1" applyBorder="1" applyAlignment="1" applyProtection="1"/>
    <xf numFmtId="3" fontId="45" fillId="55" borderId="184" xfId="0" applyNumberFormat="1" applyFont="1" applyFill="1" applyBorder="1"/>
    <xf numFmtId="3" fontId="139" fillId="6" borderId="184" xfId="0" applyNumberFormat="1" applyFont="1" applyFill="1" applyBorder="1"/>
    <xf numFmtId="3" fontId="134" fillId="6" borderId="184" xfId="0" applyNumberFormat="1" applyFont="1" applyFill="1" applyBorder="1"/>
    <xf numFmtId="0" fontId="4" fillId="7" borderId="213" xfId="0" applyFont="1" applyFill="1" applyBorder="1"/>
    <xf numFmtId="3" fontId="64" fillId="18" borderId="196" xfId="0" applyNumberFormat="1" applyFont="1" applyFill="1" applyBorder="1" applyAlignment="1">
      <alignment horizontal="center"/>
    </xf>
    <xf numFmtId="0" fontId="64" fillId="10" borderId="196" xfId="0" applyFont="1" applyFill="1" applyBorder="1"/>
    <xf numFmtId="0" fontId="64" fillId="10" borderId="202" xfId="0" applyFont="1" applyFill="1" applyBorder="1"/>
    <xf numFmtId="3" fontId="70" fillId="9" borderId="196" xfId="0" applyNumberFormat="1" applyFont="1" applyFill="1" applyBorder="1"/>
    <xf numFmtId="0" fontId="38" fillId="7" borderId="184" xfId="0" applyFont="1" applyFill="1" applyBorder="1"/>
    <xf numFmtId="0" fontId="4" fillId="10" borderId="169" xfId="0" applyFont="1" applyFill="1" applyBorder="1"/>
    <xf numFmtId="0" fontId="64" fillId="10" borderId="184" xfId="0" applyFont="1" applyFill="1" applyBorder="1"/>
    <xf numFmtId="0" fontId="70" fillId="10" borderId="196" xfId="0" applyFont="1" applyFill="1" applyBorder="1"/>
    <xf numFmtId="3" fontId="88" fillId="11" borderId="196" xfId="0" applyNumberFormat="1" applyFont="1" applyFill="1" applyBorder="1"/>
    <xf numFmtId="0" fontId="64" fillId="74" borderId="196" xfId="0" applyFont="1" applyFill="1" applyBorder="1"/>
    <xf numFmtId="3" fontId="70" fillId="10" borderId="200" xfId="1" applyNumberFormat="1" applyFont="1" applyFill="1" applyBorder="1" applyAlignment="1" applyProtection="1"/>
    <xf numFmtId="3" fontId="70" fillId="74" borderId="200" xfId="1" applyNumberFormat="1" applyFont="1" applyFill="1" applyBorder="1" applyAlignment="1" applyProtection="1"/>
    <xf numFmtId="0" fontId="4" fillId="3" borderId="184" xfId="0" applyFont="1" applyFill="1" applyBorder="1" applyAlignment="1">
      <alignment horizontal="center"/>
    </xf>
    <xf numFmtId="0" fontId="0" fillId="0" borderId="196" xfId="0" applyBorder="1" applyAlignment="1">
      <alignment horizontal="left"/>
    </xf>
    <xf numFmtId="0" fontId="101" fillId="0" borderId="232" xfId="0" applyFont="1" applyBorder="1" applyAlignment="1">
      <alignment horizontal="center" wrapText="1"/>
    </xf>
    <xf numFmtId="0" fontId="4" fillId="0" borderId="186" xfId="0" applyFont="1" applyBorder="1" applyAlignment="1">
      <alignment horizontal="center"/>
    </xf>
    <xf numFmtId="3" fontId="70" fillId="29" borderId="196" xfId="10" applyFont="1" applyFill="1" applyBorder="1" applyAlignment="1"/>
    <xf numFmtId="3" fontId="70" fillId="18" borderId="211" xfId="15" applyFont="1" applyFill="1" applyBorder="1" applyAlignment="1" applyProtection="1"/>
    <xf numFmtId="3" fontId="70" fillId="10" borderId="233" xfId="1" applyNumberFormat="1" applyFont="1" applyFill="1" applyBorder="1" applyAlignment="1" applyProtection="1"/>
    <xf numFmtId="0" fontId="0" fillId="0" borderId="196" xfId="0" applyBorder="1" applyAlignment="1">
      <alignment horizontal="center"/>
    </xf>
    <xf numFmtId="175" fontId="0" fillId="0" borderId="196" xfId="0" applyNumberFormat="1" applyBorder="1"/>
    <xf numFmtId="0" fontId="0" fillId="0" borderId="207" xfId="0" applyBorder="1" applyAlignment="1">
      <alignment horizontal="center"/>
    </xf>
    <xf numFmtId="3" fontId="66" fillId="10" borderId="234" xfId="1" applyNumberFormat="1" applyFont="1" applyFill="1" applyBorder="1" applyAlignment="1" applyProtection="1"/>
    <xf numFmtId="3" fontId="66" fillId="10" borderId="235" xfId="1" applyNumberFormat="1" applyFont="1" applyFill="1" applyBorder="1" applyAlignment="1" applyProtection="1"/>
    <xf numFmtId="3" fontId="66" fillId="10" borderId="236" xfId="1" applyNumberFormat="1" applyFont="1" applyFill="1" applyBorder="1" applyAlignment="1" applyProtection="1"/>
    <xf numFmtId="3" fontId="66" fillId="10" borderId="51" xfId="1" applyNumberFormat="1" applyFont="1" applyFill="1" applyBorder="1" applyAlignment="1" applyProtection="1"/>
    <xf numFmtId="0" fontId="66" fillId="10" borderId="237" xfId="0" applyFont="1" applyFill="1" applyBorder="1"/>
    <xf numFmtId="3" fontId="66" fillId="10" borderId="237" xfId="1" applyNumberFormat="1" applyFont="1" applyFill="1" applyBorder="1" applyAlignment="1" applyProtection="1"/>
    <xf numFmtId="175" fontId="66" fillId="10" borderId="237" xfId="0" applyNumberFormat="1" applyFont="1" applyFill="1" applyBorder="1"/>
    <xf numFmtId="0" fontId="66" fillId="10" borderId="237" xfId="0" applyFont="1" applyFill="1" applyBorder="1" applyAlignment="1">
      <alignment horizontal="center"/>
    </xf>
    <xf numFmtId="3" fontId="66" fillId="10" borderId="238" xfId="1" applyNumberFormat="1" applyFont="1" applyFill="1" applyBorder="1" applyAlignment="1" applyProtection="1"/>
    <xf numFmtId="3" fontId="66" fillId="18" borderId="237" xfId="1" applyNumberFormat="1" applyFont="1" applyFill="1" applyBorder="1" applyAlignment="1" applyProtection="1"/>
    <xf numFmtId="175" fontId="66" fillId="18" borderId="237" xfId="0" applyNumberFormat="1" applyFont="1" applyFill="1" applyBorder="1"/>
    <xf numFmtId="0" fontId="66" fillId="18" borderId="237" xfId="0" applyFont="1" applyFill="1" applyBorder="1"/>
    <xf numFmtId="0" fontId="66" fillId="18" borderId="237" xfId="0" applyFont="1" applyFill="1" applyBorder="1" applyAlignment="1">
      <alignment horizontal="center"/>
    </xf>
    <xf numFmtId="0" fontId="66" fillId="18" borderId="237" xfId="0" applyFont="1" applyFill="1" applyBorder="1" applyAlignment="1">
      <alignment horizontal="right"/>
    </xf>
    <xf numFmtId="0" fontId="66" fillId="24" borderId="238" xfId="0" applyFont="1" applyFill="1" applyBorder="1"/>
    <xf numFmtId="3" fontId="68" fillId="10" borderId="234" xfId="1" applyNumberFormat="1" applyFont="1" applyFill="1" applyBorder="1" applyAlignment="1" applyProtection="1"/>
    <xf numFmtId="3" fontId="0" fillId="0" borderId="196" xfId="15" applyFont="1" applyFill="1" applyBorder="1" applyAlignment="1" applyProtection="1">
      <alignment horizontal="center"/>
    </xf>
    <xf numFmtId="3" fontId="0" fillId="0" borderId="196" xfId="15" applyFont="1" applyFill="1" applyBorder="1" applyAlignment="1" applyProtection="1"/>
    <xf numFmtId="0" fontId="0" fillId="3" borderId="185" xfId="0" applyFill="1" applyBorder="1" applyAlignment="1">
      <alignment horizontal="center" vertical="top" wrapText="1"/>
    </xf>
    <xf numFmtId="0" fontId="38" fillId="3" borderId="239" xfId="0" applyFont="1" applyFill="1" applyBorder="1" applyAlignment="1">
      <alignment horizontal="center" vertical="top" wrapText="1"/>
    </xf>
    <xf numFmtId="38" fontId="0" fillId="3" borderId="240" xfId="2" applyFont="1" applyFill="1" applyBorder="1" applyAlignment="1" applyProtection="1">
      <alignment horizontal="center" vertical="top" wrapText="1"/>
    </xf>
    <xf numFmtId="3" fontId="23" fillId="3" borderId="241" xfId="15" applyFont="1" applyFill="1" applyBorder="1" applyAlignment="1" applyProtection="1">
      <alignment horizontal="center" vertical="top" wrapText="1"/>
    </xf>
    <xf numFmtId="3" fontId="16" fillId="3" borderId="186" xfId="15" applyFont="1" applyFill="1" applyBorder="1" applyAlignment="1" applyProtection="1">
      <alignment horizontal="center" vertical="top" wrapText="1"/>
    </xf>
    <xf numFmtId="0" fontId="2" fillId="7" borderId="185" xfId="0" applyFont="1" applyFill="1" applyBorder="1"/>
    <xf numFmtId="0" fontId="2" fillId="7" borderId="184" xfId="0" applyFont="1" applyFill="1" applyBorder="1"/>
    <xf numFmtId="0" fontId="0" fillId="7" borderId="184" xfId="0" applyFill="1" applyBorder="1"/>
    <xf numFmtId="0" fontId="2" fillId="7" borderId="184" xfId="0" applyFont="1" applyFill="1" applyBorder="1" applyAlignment="1">
      <alignment horizontal="center"/>
    </xf>
    <xf numFmtId="0" fontId="2" fillId="7" borderId="186" xfId="0" applyFont="1" applyFill="1" applyBorder="1" applyAlignment="1">
      <alignment horizontal="center"/>
    </xf>
    <xf numFmtId="3" fontId="64" fillId="10" borderId="196" xfId="0" applyNumberFormat="1" applyFont="1" applyFill="1" applyBorder="1"/>
    <xf numFmtId="3" fontId="64" fillId="10" borderId="200" xfId="0" applyNumberFormat="1" applyFont="1" applyFill="1" applyBorder="1"/>
    <xf numFmtId="0" fontId="0" fillId="0" borderId="200" xfId="0" applyBorder="1"/>
    <xf numFmtId="0" fontId="38" fillId="6" borderId="242" xfId="0" applyFont="1" applyFill="1" applyBorder="1" applyAlignment="1">
      <alignment horizontal="left"/>
    </xf>
    <xf numFmtId="0" fontId="4" fillId="6" borderId="243" xfId="0" applyFont="1" applyFill="1" applyBorder="1" applyAlignment="1">
      <alignment horizontal="left"/>
    </xf>
    <xf numFmtId="0" fontId="4" fillId="6" borderId="244" xfId="0" applyFont="1" applyFill="1" applyBorder="1" applyAlignment="1">
      <alignment horizontal="left"/>
    </xf>
    <xf numFmtId="0" fontId="3" fillId="0" borderId="253" xfId="0" applyFont="1" applyBorder="1" applyAlignment="1">
      <alignment vertical="top" wrapText="1"/>
    </xf>
    <xf numFmtId="0" fontId="2" fillId="7" borderId="192" xfId="0" applyFont="1" applyFill="1" applyBorder="1" applyAlignment="1">
      <alignment horizontal="center" wrapText="1"/>
    </xf>
    <xf numFmtId="0" fontId="2" fillId="59" borderId="250" xfId="0" applyFont="1" applyFill="1" applyBorder="1" applyAlignment="1">
      <alignment horizontal="center" wrapText="1"/>
    </xf>
    <xf numFmtId="0" fontId="3" fillId="0" borderId="214" xfId="0" applyFont="1" applyBorder="1" applyAlignment="1">
      <alignment vertical="top" wrapText="1"/>
    </xf>
    <xf numFmtId="0" fontId="3" fillId="7" borderId="215" xfId="0" applyFont="1" applyFill="1" applyBorder="1" applyAlignment="1">
      <alignment horizontal="right" wrapText="1"/>
    </xf>
    <xf numFmtId="0" fontId="3" fillId="0" borderId="201" xfId="0" applyFont="1" applyBorder="1" applyAlignment="1">
      <alignment vertical="top" wrapText="1"/>
    </xf>
    <xf numFmtId="0" fontId="2" fillId="59" borderId="198" xfId="0" applyFont="1" applyFill="1" applyBorder="1" applyAlignment="1">
      <alignment horizontal="center" wrapText="1"/>
    </xf>
    <xf numFmtId="176" fontId="0" fillId="7" borderId="254" xfId="0" applyNumberFormat="1" applyFill="1" applyBorder="1" applyAlignment="1">
      <alignment horizontal="right"/>
    </xf>
    <xf numFmtId="176" fontId="0" fillId="59" borderId="255" xfId="0" applyNumberFormat="1" applyFill="1" applyBorder="1" applyAlignment="1">
      <alignment horizontal="right"/>
    </xf>
    <xf numFmtId="176" fontId="0" fillId="33" borderId="256" xfId="0" applyNumberFormat="1" applyFill="1" applyBorder="1" applyAlignment="1" applyProtection="1">
      <alignment horizontal="right"/>
      <protection locked="0"/>
    </xf>
    <xf numFmtId="176" fontId="0" fillId="59" borderId="257" xfId="0" applyNumberFormat="1" applyFill="1" applyBorder="1" applyAlignment="1">
      <alignment horizontal="right"/>
    </xf>
    <xf numFmtId="176" fontId="13" fillId="7" borderId="258" xfId="74" applyNumberFormat="1" applyFont="1" applyFill="1" applyBorder="1" applyAlignment="1" applyProtection="1">
      <alignment horizontal="right"/>
    </xf>
    <xf numFmtId="176" fontId="13" fillId="59" borderId="259" xfId="74" applyNumberFormat="1" applyFont="1" applyFill="1" applyBorder="1" applyAlignment="1" applyProtection="1">
      <alignment horizontal="right"/>
    </xf>
    <xf numFmtId="4" fontId="34" fillId="33" borderId="260" xfId="74" applyFont="1" applyFill="1" applyBorder="1" applyAlignment="1" applyProtection="1">
      <alignment horizontal="right"/>
      <protection locked="0"/>
    </xf>
    <xf numFmtId="4" fontId="34" fillId="7" borderId="260" xfId="74" applyFont="1" applyFill="1" applyBorder="1" applyAlignment="1" applyProtection="1">
      <alignment horizontal="right"/>
    </xf>
    <xf numFmtId="4" fontId="34" fillId="33" borderId="261" xfId="74" applyFont="1" applyFill="1" applyBorder="1" applyAlignment="1" applyProtection="1">
      <alignment horizontal="right"/>
      <protection locked="0"/>
    </xf>
    <xf numFmtId="4" fontId="34" fillId="7" borderId="261" xfId="74" applyFont="1" applyFill="1" applyBorder="1" applyAlignment="1" applyProtection="1">
      <alignment horizontal="right"/>
    </xf>
    <xf numFmtId="4" fontId="102" fillId="33" borderId="261" xfId="74" applyFont="1" applyFill="1" applyBorder="1" applyAlignment="1" applyProtection="1">
      <alignment horizontal="right"/>
      <protection locked="0"/>
    </xf>
    <xf numFmtId="4" fontId="102" fillId="33" borderId="262" xfId="0" applyNumberFormat="1" applyFont="1" applyFill="1" applyBorder="1" applyAlignment="1" applyProtection="1">
      <alignment horizontal="right"/>
      <protection locked="0"/>
    </xf>
    <xf numFmtId="4" fontId="34" fillId="7" borderId="262" xfId="0" applyNumberFormat="1" applyFont="1" applyFill="1" applyBorder="1" applyAlignment="1">
      <alignment horizontal="right"/>
    </xf>
    <xf numFmtId="2" fontId="102" fillId="33" borderId="262" xfId="0" applyNumberFormat="1" applyFont="1" applyFill="1" applyBorder="1" applyAlignment="1" applyProtection="1">
      <alignment horizontal="right"/>
      <protection locked="0"/>
    </xf>
    <xf numFmtId="2" fontId="34" fillId="7" borderId="262" xfId="0" applyNumberFormat="1" applyFont="1" applyFill="1" applyBorder="1" applyAlignment="1">
      <alignment horizontal="right"/>
    </xf>
    <xf numFmtId="4" fontId="34" fillId="33" borderId="220" xfId="75" applyNumberFormat="1" applyFont="1" applyFill="1" applyBorder="1" applyAlignment="1" applyProtection="1">
      <alignment horizontal="right"/>
      <protection locked="0"/>
    </xf>
    <xf numFmtId="4" fontId="34" fillId="7" borderId="220" xfId="75" applyNumberFormat="1" applyFont="1" applyFill="1" applyBorder="1" applyAlignment="1" applyProtection="1">
      <alignment horizontal="right"/>
    </xf>
    <xf numFmtId="10" fontId="34" fillId="33" borderId="263" xfId="75" applyNumberFormat="1" applyFont="1" applyFill="1" applyBorder="1" applyAlignment="1" applyProtection="1">
      <alignment horizontal="right"/>
      <protection locked="0"/>
    </xf>
    <xf numFmtId="10" fontId="34" fillId="7" borderId="263" xfId="75" applyNumberFormat="1" applyFont="1" applyFill="1" applyBorder="1" applyAlignment="1" applyProtection="1">
      <alignment horizontal="right"/>
    </xf>
    <xf numFmtId="10" fontId="34" fillId="33" borderId="264" xfId="75" applyNumberFormat="1" applyFont="1" applyFill="1" applyBorder="1" applyAlignment="1" applyProtection="1">
      <alignment horizontal="right"/>
      <protection locked="0"/>
    </xf>
    <xf numFmtId="10" fontId="34" fillId="7" borderId="264" xfId="75" applyNumberFormat="1" applyFont="1" applyFill="1" applyBorder="1" applyAlignment="1" applyProtection="1">
      <alignment horizontal="right"/>
    </xf>
    <xf numFmtId="172" fontId="102" fillId="33" borderId="264" xfId="75" applyNumberFormat="1" applyFont="1" applyFill="1" applyBorder="1" applyAlignment="1" applyProtection="1">
      <alignment horizontal="right"/>
      <protection locked="0"/>
    </xf>
    <xf numFmtId="4" fontId="36" fillId="0" borderId="262" xfId="74" applyFont="1" applyFill="1" applyBorder="1" applyAlignment="1" applyProtection="1">
      <alignment horizontal="center"/>
    </xf>
    <xf numFmtId="4" fontId="102" fillId="33" borderId="264" xfId="0" applyNumberFormat="1" applyFont="1" applyFill="1" applyBorder="1" applyAlignment="1" applyProtection="1">
      <alignment horizontal="right"/>
      <protection locked="0"/>
    </xf>
    <xf numFmtId="4" fontId="34" fillId="7" borderId="264" xfId="0" applyNumberFormat="1" applyFont="1" applyFill="1" applyBorder="1" applyAlignment="1">
      <alignment horizontal="right"/>
    </xf>
    <xf numFmtId="0" fontId="0" fillId="6" borderId="224" xfId="0" applyFill="1" applyBorder="1" applyAlignment="1">
      <alignment horizontal="left"/>
    </xf>
    <xf numFmtId="4" fontId="34" fillId="7" borderId="223" xfId="0" applyNumberFormat="1" applyFont="1" applyFill="1" applyBorder="1" applyAlignment="1">
      <alignment horizontal="right"/>
    </xf>
    <xf numFmtId="0" fontId="0" fillId="6" borderId="265" xfId="0" applyFill="1" applyBorder="1" applyAlignment="1">
      <alignment horizontal="left"/>
    </xf>
    <xf numFmtId="4" fontId="34" fillId="7" borderId="267" xfId="0" applyNumberFormat="1" applyFont="1" applyFill="1" applyBorder="1" applyAlignment="1">
      <alignment horizontal="right"/>
    </xf>
    <xf numFmtId="0" fontId="96" fillId="33" borderId="230" xfId="0" applyFont="1" applyFill="1" applyBorder="1" applyAlignment="1" applyProtection="1">
      <alignment horizontal="center"/>
      <protection locked="0"/>
    </xf>
    <xf numFmtId="0" fontId="52" fillId="8" borderId="270" xfId="0" applyFont="1" applyFill="1" applyBorder="1" applyAlignment="1">
      <alignment horizontal="center"/>
    </xf>
    <xf numFmtId="0" fontId="52" fillId="8" borderId="271" xfId="0" applyFont="1" applyFill="1" applyBorder="1" applyAlignment="1">
      <alignment horizontal="center"/>
    </xf>
    <xf numFmtId="0" fontId="52" fillId="8" borderId="272" xfId="0" applyFont="1" applyFill="1" applyBorder="1" applyAlignment="1">
      <alignment horizontal="center"/>
    </xf>
    <xf numFmtId="0" fontId="0" fillId="8" borderId="221" xfId="0" applyFill="1" applyBorder="1" applyAlignment="1">
      <alignment horizontal="center" vertical="top" wrapText="1"/>
    </xf>
    <xf numFmtId="0" fontId="0" fillId="8" borderId="273" xfId="0" applyFill="1" applyBorder="1" applyAlignment="1">
      <alignment horizontal="center" vertical="top" wrapText="1"/>
    </xf>
    <xf numFmtId="0" fontId="0" fillId="8" borderId="225" xfId="0" applyFill="1" applyBorder="1" applyAlignment="1">
      <alignment horizontal="center" vertical="top" wrapText="1"/>
    </xf>
    <xf numFmtId="0" fontId="18" fillId="8" borderId="275" xfId="0" applyFont="1" applyFill="1" applyBorder="1" applyAlignment="1">
      <alignment horizontal="center" vertical="top" wrapText="1"/>
    </xf>
    <xf numFmtId="0" fontId="18" fillId="8" borderId="276" xfId="0" applyFont="1" applyFill="1" applyBorder="1" applyAlignment="1">
      <alignment horizontal="center" vertical="top" wrapText="1"/>
    </xf>
    <xf numFmtId="0" fontId="18" fillId="8" borderId="277" xfId="0" applyFont="1" applyFill="1" applyBorder="1" applyAlignment="1">
      <alignment horizontal="center" vertical="top" wrapText="1"/>
    </xf>
    <xf numFmtId="0" fontId="101" fillId="33" borderId="278" xfId="10" applyNumberFormat="1" applyFont="1" applyFill="1" applyBorder="1" applyAlignment="1" applyProtection="1">
      <alignment horizontal="right"/>
      <protection locked="0"/>
    </xf>
    <xf numFmtId="0" fontId="101" fillId="33" borderId="278" xfId="0" applyFont="1" applyFill="1" applyBorder="1" applyAlignment="1" applyProtection="1">
      <alignment horizontal="right"/>
      <protection locked="0"/>
    </xf>
    <xf numFmtId="0" fontId="101" fillId="33" borderId="279" xfId="0" applyFont="1" applyFill="1" applyBorder="1" applyAlignment="1" applyProtection="1">
      <alignment horizontal="right"/>
      <protection locked="0"/>
    </xf>
    <xf numFmtId="3" fontId="0" fillId="0" borderId="196" xfId="2" applyNumberFormat="1" applyFont="1" applyFill="1" applyBorder="1" applyAlignment="1" applyProtection="1"/>
    <xf numFmtId="0" fontId="122" fillId="17" borderId="185" xfId="14" applyNumberFormat="1" applyFont="1" applyFill="1" applyBorder="1" applyAlignment="1" applyProtection="1">
      <alignment horizontal="center" wrapText="1"/>
    </xf>
    <xf numFmtId="0" fontId="122" fillId="7" borderId="184" xfId="14" applyFont="1" applyFill="1" applyBorder="1" applyAlignment="1">
      <alignment horizontal="center"/>
    </xf>
    <xf numFmtId="0" fontId="68" fillId="10" borderId="282" xfId="0" applyFont="1" applyFill="1" applyBorder="1"/>
    <xf numFmtId="3" fontId="68" fillId="10" borderId="234" xfId="15" applyFont="1" applyFill="1" applyBorder="1" applyAlignment="1" applyProtection="1"/>
    <xf numFmtId="3" fontId="68" fillId="10" borderId="283" xfId="15" applyFont="1" applyFill="1" applyBorder="1" applyAlignment="1" applyProtection="1"/>
    <xf numFmtId="3" fontId="66" fillId="18" borderId="283" xfId="2" applyNumberFormat="1" applyFont="1" applyFill="1" applyBorder="1" applyAlignment="1" applyProtection="1"/>
    <xf numFmtId="3" fontId="3" fillId="7" borderId="234" xfId="2" applyNumberFormat="1" applyFont="1" applyFill="1" applyBorder="1" applyAlignment="1" applyProtection="1"/>
    <xf numFmtId="3" fontId="66" fillId="10" borderId="283" xfId="15" applyFont="1" applyFill="1" applyBorder="1" applyAlignment="1" applyProtection="1"/>
    <xf numFmtId="3" fontId="66" fillId="18" borderId="234" xfId="2" applyNumberFormat="1" applyFont="1" applyFill="1" applyBorder="1" applyAlignment="1" applyProtection="1"/>
    <xf numFmtId="3" fontId="68" fillId="10" borderId="284" xfId="15" applyFont="1" applyFill="1" applyBorder="1" applyAlignment="1" applyProtection="1"/>
    <xf numFmtId="3" fontId="68" fillId="18" borderId="283" xfId="15" applyFont="1" applyFill="1" applyBorder="1" applyAlignment="1" applyProtection="1"/>
    <xf numFmtId="0" fontId="68" fillId="10" borderId="285" xfId="0" applyFont="1" applyFill="1" applyBorder="1"/>
    <xf numFmtId="3" fontId="66" fillId="18" borderId="284" xfId="2" applyNumberFormat="1" applyFont="1" applyFill="1" applyBorder="1" applyAlignment="1" applyProtection="1"/>
    <xf numFmtId="0" fontId="2" fillId="7" borderId="286" xfId="0" applyFont="1" applyFill="1" applyBorder="1"/>
    <xf numFmtId="3" fontId="2" fillId="7" borderId="179" xfId="15" applyFont="1" applyFill="1" applyBorder="1" applyAlignment="1" applyProtection="1"/>
    <xf numFmtId="3" fontId="3" fillId="7" borderId="179" xfId="2" applyNumberFormat="1" applyFont="1" applyFill="1" applyBorder="1" applyAlignment="1" applyProtection="1"/>
    <xf numFmtId="0" fontId="72" fillId="10" borderId="286" xfId="0" applyFont="1" applyFill="1" applyBorder="1" applyAlignment="1">
      <alignment horizontal="center"/>
    </xf>
    <xf numFmtId="0" fontId="73" fillId="10" borderId="179" xfId="0" applyFont="1" applyFill="1" applyBorder="1" applyAlignment="1">
      <alignment horizontal="center"/>
    </xf>
    <xf numFmtId="3" fontId="0" fillId="7" borderId="289" xfId="2" applyNumberFormat="1" applyFont="1" applyFill="1" applyBorder="1" applyAlignment="1" applyProtection="1"/>
    <xf numFmtId="3" fontId="66" fillId="10" borderId="283" xfId="2" applyNumberFormat="1" applyFont="1" applyFill="1" applyBorder="1" applyAlignment="1" applyProtection="1"/>
    <xf numFmtId="3" fontId="66" fillId="10" borderId="234" xfId="15" applyFont="1" applyFill="1" applyBorder="1" applyAlignment="1" applyProtection="1"/>
    <xf numFmtId="3" fontId="0" fillId="7" borderId="290" xfId="2" applyNumberFormat="1" applyFont="1" applyFill="1" applyBorder="1" applyAlignment="1" applyProtection="1"/>
    <xf numFmtId="0" fontId="0" fillId="7" borderId="291" xfId="0" applyFill="1" applyBorder="1" applyAlignment="1">
      <alignment horizontal="left"/>
    </xf>
    <xf numFmtId="3" fontId="3" fillId="7" borderId="283" xfId="17" applyNumberFormat="1" applyFont="1" applyFill="1" applyBorder="1" applyAlignment="1" applyProtection="1"/>
    <xf numFmtId="0" fontId="0" fillId="7" borderId="287" xfId="0" applyFill="1" applyBorder="1"/>
    <xf numFmtId="4" fontId="3" fillId="7" borderId="288" xfId="17" applyFont="1" applyFill="1" applyBorder="1" applyAlignment="1" applyProtection="1"/>
    <xf numFmtId="0" fontId="0" fillId="11" borderId="286" xfId="0" applyFill="1" applyBorder="1" applyAlignment="1">
      <alignment horizontal="center"/>
    </xf>
    <xf numFmtId="0" fontId="0" fillId="11" borderId="179" xfId="0" applyFill="1" applyBorder="1" applyAlignment="1">
      <alignment horizontal="center"/>
    </xf>
    <xf numFmtId="3" fontId="0" fillId="7" borderId="179" xfId="15" applyFont="1" applyFill="1" applyBorder="1" applyAlignment="1" applyProtection="1"/>
    <xf numFmtId="0" fontId="0" fillId="7" borderId="179" xfId="0" applyFill="1" applyBorder="1"/>
    <xf numFmtId="0" fontId="2" fillId="53" borderId="222" xfId="0" applyFont="1" applyFill="1" applyBorder="1" applyAlignment="1">
      <alignment horizontal="center"/>
    </xf>
    <xf numFmtId="0" fontId="2" fillId="53" borderId="219" xfId="0" applyFont="1" applyFill="1" applyBorder="1" applyAlignment="1">
      <alignment horizontal="center"/>
    </xf>
    <xf numFmtId="0" fontId="171" fillId="53" borderId="292" xfId="0" applyFont="1" applyFill="1" applyBorder="1"/>
    <xf numFmtId="3" fontId="2" fillId="51" borderId="293" xfId="0" applyNumberFormat="1" applyFont="1" applyFill="1" applyBorder="1"/>
    <xf numFmtId="3" fontId="2" fillId="51" borderId="294" xfId="0" applyNumberFormat="1" applyFont="1" applyFill="1" applyBorder="1"/>
    <xf numFmtId="3" fontId="102" fillId="40" borderId="222" xfId="0" applyNumberFormat="1" applyFont="1" applyFill="1" applyBorder="1"/>
    <xf numFmtId="3" fontId="102" fillId="40" borderId="219" xfId="0" applyNumberFormat="1" applyFont="1" applyFill="1" applyBorder="1"/>
    <xf numFmtId="0" fontId="171" fillId="53" borderId="295" xfId="0" applyFont="1" applyFill="1" applyBorder="1"/>
    <xf numFmtId="3" fontId="0" fillId="7" borderId="296" xfId="0" applyNumberFormat="1" applyFill="1" applyBorder="1"/>
    <xf numFmtId="3" fontId="0" fillId="7" borderId="297" xfId="0" applyNumberFormat="1" applyFill="1" applyBorder="1"/>
    <xf numFmtId="0" fontId="171" fillId="53" borderId="298" xfId="0" applyFont="1" applyFill="1" applyBorder="1"/>
    <xf numFmtId="3" fontId="0" fillId="7" borderId="299" xfId="0" applyNumberFormat="1" applyFill="1" applyBorder="1"/>
    <xf numFmtId="3" fontId="0" fillId="7" borderId="300" xfId="0" applyNumberFormat="1" applyFill="1" applyBorder="1"/>
    <xf numFmtId="0" fontId="171" fillId="53" borderId="301" xfId="0" applyFont="1" applyFill="1" applyBorder="1"/>
    <xf numFmtId="3" fontId="0" fillId="7" borderId="302" xfId="0" applyNumberFormat="1" applyFill="1" applyBorder="1"/>
    <xf numFmtId="3" fontId="0" fillId="7" borderId="303" xfId="0" applyNumberFormat="1" applyFill="1" applyBorder="1"/>
    <xf numFmtId="3" fontId="2" fillId="51" borderId="219" xfId="0" applyNumberFormat="1" applyFont="1" applyFill="1" applyBorder="1" applyProtection="1">
      <protection locked="0"/>
    </xf>
    <xf numFmtId="0" fontId="2" fillId="53" borderId="222" xfId="0" applyFont="1" applyFill="1" applyBorder="1" applyAlignment="1" applyProtection="1">
      <alignment horizontal="center"/>
      <protection locked="0"/>
    </xf>
    <xf numFmtId="0" fontId="2" fillId="53" borderId="219" xfId="0" applyFont="1" applyFill="1" applyBorder="1" applyAlignment="1" applyProtection="1">
      <alignment horizontal="center"/>
      <protection locked="0"/>
    </xf>
    <xf numFmtId="3" fontId="2" fillId="51" borderId="222" xfId="0" applyNumberFormat="1" applyFont="1" applyFill="1" applyBorder="1" applyProtection="1">
      <protection locked="0"/>
    </xf>
    <xf numFmtId="3" fontId="2" fillId="7" borderId="249" xfId="0" applyNumberFormat="1" applyFont="1" applyFill="1" applyBorder="1"/>
    <xf numFmtId="3" fontId="2" fillId="7" borderId="304" xfId="0" applyNumberFormat="1" applyFont="1" applyFill="1" applyBorder="1"/>
    <xf numFmtId="3" fontId="2" fillId="53" borderId="222" xfId="0" applyNumberFormat="1" applyFont="1" applyFill="1" applyBorder="1"/>
    <xf numFmtId="3" fontId="2" fillId="53" borderId="219" xfId="0" applyNumberFormat="1" applyFont="1" applyFill="1" applyBorder="1"/>
    <xf numFmtId="0" fontId="2" fillId="0" borderId="305" xfId="0" applyFont="1" applyBorder="1"/>
    <xf numFmtId="0" fontId="2" fillId="0" borderId="306" xfId="0" applyFont="1" applyBorder="1" applyAlignment="1">
      <alignment wrapText="1"/>
    </xf>
    <xf numFmtId="0" fontId="2" fillId="0" borderId="307" xfId="0" applyFont="1" applyBorder="1"/>
    <xf numFmtId="0" fontId="0" fillId="0" borderId="308" xfId="0" applyBorder="1" applyAlignment="1">
      <alignment horizontal="center"/>
    </xf>
    <xf numFmtId="0" fontId="0" fillId="0" borderId="309" xfId="0" applyBorder="1" applyAlignment="1">
      <alignment horizontal="center"/>
    </xf>
    <xf numFmtId="14" fontId="0" fillId="38" borderId="309" xfId="0" applyNumberFormat="1" applyFill="1" applyBorder="1" applyAlignment="1" applyProtection="1">
      <alignment horizontal="center"/>
      <protection locked="0"/>
    </xf>
    <xf numFmtId="0" fontId="0" fillId="38" borderId="309" xfId="0" applyFill="1" applyBorder="1" applyAlignment="1" applyProtection="1">
      <alignment horizontal="center"/>
      <protection locked="0"/>
    </xf>
    <xf numFmtId="0" fontId="112" fillId="0" borderId="309" xfId="0" applyFont="1" applyBorder="1" applyAlignment="1">
      <alignment horizontal="center"/>
    </xf>
    <xf numFmtId="0" fontId="112" fillId="0" borderId="310" xfId="0" applyFont="1" applyBorder="1" applyAlignment="1">
      <alignment horizontal="center"/>
    </xf>
    <xf numFmtId="0" fontId="0" fillId="0" borderId="311" xfId="0" applyBorder="1" applyAlignment="1">
      <alignment horizontal="center"/>
    </xf>
    <xf numFmtId="0" fontId="0" fillId="0" borderId="312" xfId="0" applyBorder="1" applyAlignment="1">
      <alignment horizontal="center"/>
    </xf>
    <xf numFmtId="14" fontId="0" fillId="38" borderId="312" xfId="0" applyNumberFormat="1" applyFill="1" applyBorder="1" applyAlignment="1" applyProtection="1">
      <alignment horizontal="center"/>
      <protection locked="0"/>
    </xf>
    <xf numFmtId="0" fontId="0" fillId="38" borderId="312" xfId="0" applyFill="1" applyBorder="1" applyAlignment="1" applyProtection="1">
      <alignment horizontal="center"/>
      <protection locked="0"/>
    </xf>
    <xf numFmtId="0" fontId="112" fillId="0" borderId="312" xfId="0" applyFont="1" applyBorder="1" applyAlignment="1">
      <alignment horizontal="center"/>
    </xf>
    <xf numFmtId="0" fontId="0" fillId="0" borderId="179" xfId="21" applyFont="1" applyBorder="1"/>
    <xf numFmtId="0" fontId="63" fillId="9" borderId="313" xfId="21" applyFont="1" applyFill="1" applyBorder="1"/>
    <xf numFmtId="0" fontId="66" fillId="9" borderId="314" xfId="21" applyFont="1" applyFill="1" applyBorder="1"/>
    <xf numFmtId="0" fontId="66" fillId="10" borderId="315" xfId="21" applyFont="1" applyFill="1" applyBorder="1"/>
    <xf numFmtId="3" fontId="38" fillId="7" borderId="316" xfId="0" applyNumberFormat="1" applyFont="1" applyFill="1" applyBorder="1"/>
    <xf numFmtId="3" fontId="0" fillId="7" borderId="317" xfId="0" applyNumberFormat="1" applyFill="1" applyBorder="1"/>
    <xf numFmtId="3" fontId="0" fillId="7" borderId="317" xfId="0" applyNumberFormat="1" applyFill="1" applyBorder="1" applyAlignment="1">
      <alignment horizontal="center"/>
    </xf>
    <xf numFmtId="0" fontId="0" fillId="7" borderId="317" xfId="21" applyFont="1" applyFill="1" applyBorder="1"/>
    <xf numFmtId="3" fontId="40" fillId="16" borderId="318" xfId="0" applyNumberFormat="1" applyFont="1" applyFill="1" applyBorder="1"/>
    <xf numFmtId="3" fontId="42" fillId="7" borderId="319" xfId="22" applyNumberFormat="1" applyFont="1" applyFill="1" applyBorder="1"/>
    <xf numFmtId="0" fontId="0" fillId="7" borderId="316" xfId="21" applyFont="1" applyFill="1" applyBorder="1"/>
    <xf numFmtId="0" fontId="30" fillId="7" borderId="317" xfId="21" applyFont="1" applyFill="1" applyBorder="1" applyAlignment="1">
      <alignment horizontal="right"/>
    </xf>
    <xf numFmtId="3" fontId="31" fillId="7" borderId="318" xfId="21" applyNumberFormat="1" applyFont="1" applyFill="1" applyBorder="1"/>
    <xf numFmtId="0" fontId="30" fillId="7" borderId="317" xfId="21" applyFont="1" applyFill="1" applyBorder="1"/>
    <xf numFmtId="0" fontId="30" fillId="17" borderId="320" xfId="0" applyFont="1" applyFill="1" applyBorder="1"/>
    <xf numFmtId="0" fontId="30" fillId="17" borderId="321" xfId="21" applyFont="1" applyFill="1" applyBorder="1"/>
    <xf numFmtId="3" fontId="43" fillId="17" borderId="318" xfId="21" applyNumberFormat="1" applyFont="1" applyFill="1" applyBorder="1"/>
    <xf numFmtId="0" fontId="16" fillId="7" borderId="322" xfId="21" applyFont="1" applyFill="1" applyBorder="1" applyAlignment="1">
      <alignment horizontal="center"/>
    </xf>
    <xf numFmtId="3" fontId="40" fillId="7" borderId="318" xfId="21" applyNumberFormat="1" applyFont="1" applyFill="1" applyBorder="1"/>
    <xf numFmtId="0" fontId="0" fillId="7" borderId="321" xfId="21" applyFont="1" applyFill="1" applyBorder="1"/>
    <xf numFmtId="3" fontId="43" fillId="17" borderId="326" xfId="21" applyNumberFormat="1" applyFont="1" applyFill="1" applyBorder="1" applyAlignment="1">
      <alignment horizontal="right"/>
    </xf>
    <xf numFmtId="0" fontId="16" fillId="7" borderId="329" xfId="21" applyFont="1" applyFill="1" applyBorder="1" applyAlignment="1">
      <alignment horizontal="center"/>
    </xf>
    <xf numFmtId="4" fontId="30" fillId="17" borderId="330" xfId="0" applyNumberFormat="1" applyFont="1" applyFill="1" applyBorder="1"/>
    <xf numFmtId="0" fontId="0" fillId="17" borderId="331" xfId="0" applyFill="1" applyBorder="1"/>
    <xf numFmtId="0" fontId="0" fillId="17" borderId="331" xfId="21" applyFont="1" applyFill="1" applyBorder="1"/>
    <xf numFmtId="3" fontId="43" fillId="17" borderId="326" xfId="0" applyNumberFormat="1" applyFont="1" applyFill="1" applyBorder="1"/>
    <xf numFmtId="0" fontId="16" fillId="7" borderId="326" xfId="21" applyFont="1" applyFill="1" applyBorder="1" applyAlignment="1">
      <alignment horizontal="center"/>
    </xf>
    <xf numFmtId="0" fontId="42" fillId="7" borderId="326" xfId="21" applyFont="1" applyFill="1" applyBorder="1"/>
    <xf numFmtId="3" fontId="40" fillId="16" borderId="326" xfId="21" applyNumberFormat="1" applyFont="1" applyFill="1" applyBorder="1"/>
    <xf numFmtId="0" fontId="38" fillId="7" borderId="316" xfId="21" applyFont="1" applyFill="1" applyBorder="1"/>
    <xf numFmtId="0" fontId="5" fillId="7" borderId="317" xfId="21" applyFont="1" applyFill="1" applyBorder="1" applyAlignment="1">
      <alignment horizontal="center"/>
    </xf>
    <xf numFmtId="0" fontId="0" fillId="7" borderId="332" xfId="21" applyFont="1" applyFill="1" applyBorder="1"/>
    <xf numFmtId="3" fontId="42" fillId="7" borderId="326" xfId="21" applyNumberFormat="1" applyFont="1" applyFill="1" applyBorder="1"/>
    <xf numFmtId="3" fontId="32" fillId="7" borderId="333" xfId="21" applyNumberFormat="1" applyFont="1" applyFill="1" applyBorder="1" applyAlignment="1">
      <alignment horizontal="center"/>
    </xf>
    <xf numFmtId="0" fontId="0" fillId="7" borderId="317" xfId="21" applyFont="1" applyFill="1" applyBorder="1" applyAlignment="1">
      <alignment horizontal="center"/>
    </xf>
    <xf numFmtId="0" fontId="105" fillId="7" borderId="333" xfId="21" applyFont="1" applyFill="1" applyBorder="1" applyAlignment="1">
      <alignment horizontal="center"/>
    </xf>
    <xf numFmtId="1" fontId="13" fillId="7" borderId="333" xfId="21" applyNumberFormat="1" applyFont="1" applyFill="1" applyBorder="1" applyAlignment="1">
      <alignment horizontal="center"/>
    </xf>
    <xf numFmtId="0" fontId="13" fillId="7" borderId="333" xfId="21" applyFont="1" applyFill="1" applyBorder="1" applyAlignment="1">
      <alignment horizontal="center"/>
    </xf>
    <xf numFmtId="4" fontId="13" fillId="7" borderId="333" xfId="21" applyNumberFormat="1" applyFont="1" applyFill="1" applyBorder="1" applyAlignment="1">
      <alignment horizontal="center"/>
    </xf>
    <xf numFmtId="0" fontId="46" fillId="8" borderId="317" xfId="21" applyFont="1" applyFill="1" applyBorder="1" applyAlignment="1">
      <alignment horizontal="center"/>
    </xf>
    <xf numFmtId="3" fontId="40" fillId="16" borderId="334" xfId="21" applyNumberFormat="1" applyFont="1" applyFill="1" applyBorder="1"/>
    <xf numFmtId="0" fontId="64" fillId="23" borderId="335" xfId="21" applyFont="1" applyFill="1" applyBorder="1"/>
    <xf numFmtId="0" fontId="65" fillId="23" borderId="336" xfId="21" applyFont="1" applyFill="1" applyBorder="1" applyAlignment="1">
      <alignment horizontal="right"/>
    </xf>
    <xf numFmtId="4" fontId="64" fillId="23" borderId="336" xfId="21" applyNumberFormat="1" applyFont="1" applyFill="1" applyBorder="1" applyAlignment="1">
      <alignment horizontal="center"/>
    </xf>
    <xf numFmtId="0" fontId="66" fillId="10" borderId="289" xfId="21" applyFont="1" applyFill="1" applyBorder="1"/>
    <xf numFmtId="0" fontId="65" fillId="23" borderId="337" xfId="21" applyFont="1" applyFill="1" applyBorder="1" applyAlignment="1">
      <alignment horizontal="right"/>
    </xf>
    <xf numFmtId="3" fontId="64" fillId="23" borderId="336" xfId="21" applyNumberFormat="1" applyFont="1" applyFill="1" applyBorder="1" applyAlignment="1">
      <alignment horizontal="center"/>
    </xf>
    <xf numFmtId="0" fontId="64" fillId="23" borderId="337" xfId="21" applyFont="1" applyFill="1" applyBorder="1"/>
    <xf numFmtId="0" fontId="66" fillId="23" borderId="338" xfId="21" applyFont="1" applyFill="1" applyBorder="1"/>
    <xf numFmtId="3" fontId="67" fillId="23" borderId="339" xfId="21" applyNumberFormat="1" applyFont="1" applyFill="1" applyBorder="1" applyAlignment="1">
      <alignment horizontal="right"/>
    </xf>
    <xf numFmtId="3" fontId="13" fillId="7" borderId="333" xfId="21" applyNumberFormat="1" applyFont="1" applyFill="1" applyBorder="1"/>
    <xf numFmtId="3" fontId="24" fillId="7" borderId="326" xfId="21" applyNumberFormat="1" applyFont="1" applyFill="1" applyBorder="1"/>
    <xf numFmtId="3" fontId="13" fillId="7" borderId="326" xfId="21" applyNumberFormat="1" applyFont="1" applyFill="1" applyBorder="1"/>
    <xf numFmtId="3" fontId="24" fillId="7" borderId="348" xfId="21" applyNumberFormat="1" applyFont="1" applyFill="1" applyBorder="1"/>
    <xf numFmtId="3" fontId="13" fillId="33" borderId="350" xfId="21" applyNumberFormat="1" applyFont="1" applyFill="1" applyBorder="1" applyProtection="1">
      <protection locked="0"/>
    </xf>
    <xf numFmtId="3" fontId="21" fillId="7" borderId="204" xfId="15" applyFont="1" applyFill="1" applyBorder="1" applyAlignment="1" applyProtection="1"/>
    <xf numFmtId="3" fontId="2" fillId="7" borderId="351" xfId="15" applyFont="1" applyFill="1" applyBorder="1" applyAlignment="1" applyProtection="1">
      <alignment horizontal="right"/>
    </xf>
    <xf numFmtId="3" fontId="2" fillId="7" borderId="351" xfId="21" applyNumberFormat="1" applyFont="1" applyFill="1" applyBorder="1"/>
    <xf numFmtId="3" fontId="2" fillId="7" borderId="352" xfId="21" applyNumberFormat="1" applyFont="1" applyFill="1" applyBorder="1"/>
    <xf numFmtId="3" fontId="24" fillId="7" borderId="353" xfId="21" applyNumberFormat="1" applyFont="1" applyFill="1" applyBorder="1"/>
    <xf numFmtId="3" fontId="27" fillId="7" borderId="327" xfId="15" applyFont="1" applyFill="1" applyBorder="1" applyAlignment="1" applyProtection="1"/>
    <xf numFmtId="3" fontId="16" fillId="7" borderId="354" xfId="15" applyFont="1" applyFill="1" applyBorder="1" applyAlignment="1" applyProtection="1"/>
    <xf numFmtId="3" fontId="16" fillId="7" borderId="354" xfId="21" applyNumberFormat="1" applyFont="1" applyFill="1" applyBorder="1"/>
    <xf numFmtId="3" fontId="0" fillId="7" borderId="317" xfId="21" applyNumberFormat="1" applyFont="1" applyFill="1" applyBorder="1"/>
    <xf numFmtId="3" fontId="6" fillId="7" borderId="317" xfId="7" applyNumberFormat="1" applyFill="1" applyBorder="1" applyAlignment="1" applyProtection="1"/>
    <xf numFmtId="3" fontId="13" fillId="7" borderId="354" xfId="21" applyNumberFormat="1" applyFont="1" applyFill="1" applyBorder="1"/>
    <xf numFmtId="3" fontId="16" fillId="7" borderId="355" xfId="15" applyFont="1" applyFill="1" applyBorder="1" applyAlignment="1" applyProtection="1"/>
    <xf numFmtId="3" fontId="27" fillId="7" borderId="356" xfId="21" applyNumberFormat="1" applyFont="1" applyFill="1" applyBorder="1"/>
    <xf numFmtId="3" fontId="0" fillId="7" borderId="357" xfId="21" applyNumberFormat="1" applyFont="1" applyFill="1" applyBorder="1"/>
    <xf numFmtId="3" fontId="27" fillId="14" borderId="355" xfId="21" applyNumberFormat="1" applyFont="1" applyFill="1" applyBorder="1"/>
    <xf numFmtId="0" fontId="64" fillId="18" borderId="358" xfId="21" applyFont="1" applyFill="1" applyBorder="1"/>
    <xf numFmtId="3" fontId="70" fillId="18" borderId="289" xfId="15" applyFont="1" applyFill="1" applyBorder="1" applyAlignment="1" applyProtection="1"/>
    <xf numFmtId="3" fontId="70" fillId="18" borderId="289" xfId="21" applyNumberFormat="1" applyFont="1" applyFill="1" applyBorder="1"/>
    <xf numFmtId="0" fontId="70" fillId="18" borderId="289" xfId="21" applyFont="1" applyFill="1" applyBorder="1"/>
    <xf numFmtId="3" fontId="64" fillId="10" borderId="283" xfId="21" applyNumberFormat="1" applyFont="1" applyFill="1" applyBorder="1"/>
    <xf numFmtId="0" fontId="0" fillId="12" borderId="314" xfId="21" applyFont="1" applyFill="1" applyBorder="1"/>
    <xf numFmtId="0" fontId="0" fillId="13" borderId="315" xfId="21" applyFont="1" applyFill="1" applyBorder="1"/>
    <xf numFmtId="3" fontId="40" fillId="16" borderId="359" xfId="0" applyNumberFormat="1" applyFont="1" applyFill="1" applyBorder="1"/>
    <xf numFmtId="3" fontId="43" fillId="7" borderId="355" xfId="21" applyNumberFormat="1" applyFont="1" applyFill="1" applyBorder="1"/>
    <xf numFmtId="0" fontId="0" fillId="7" borderId="355" xfId="21" applyFont="1" applyFill="1" applyBorder="1" applyAlignment="1">
      <alignment horizontal="center"/>
    </xf>
    <xf numFmtId="3" fontId="40" fillId="7" borderId="360" xfId="21" applyNumberFormat="1" applyFont="1" applyFill="1" applyBorder="1"/>
    <xf numFmtId="3" fontId="43" fillId="17" borderId="355" xfId="0" applyNumberFormat="1" applyFont="1" applyFill="1" applyBorder="1" applyAlignment="1">
      <alignment horizontal="right"/>
    </xf>
    <xf numFmtId="3" fontId="40" fillId="7" borderId="361" xfId="21" applyNumberFormat="1" applyFont="1" applyFill="1" applyBorder="1" applyAlignment="1">
      <alignment horizontal="right"/>
    </xf>
    <xf numFmtId="3" fontId="40" fillId="7" borderId="357" xfId="21" applyNumberFormat="1" applyFont="1" applyFill="1" applyBorder="1"/>
    <xf numFmtId="3" fontId="40" fillId="16" borderId="359" xfId="21" applyNumberFormat="1" applyFont="1" applyFill="1" applyBorder="1"/>
    <xf numFmtId="0" fontId="13" fillId="7" borderId="332" xfId="21" applyFont="1" applyFill="1" applyBorder="1"/>
    <xf numFmtId="3" fontId="32" fillId="7" borderId="355" xfId="21" applyNumberFormat="1" applyFont="1" applyFill="1" applyBorder="1" applyAlignment="1">
      <alignment horizontal="center"/>
    </xf>
    <xf numFmtId="0" fontId="13" fillId="7" borderId="355" xfId="21" applyFont="1" applyFill="1" applyBorder="1" applyAlignment="1">
      <alignment horizontal="center"/>
    </xf>
    <xf numFmtId="2" fontId="13" fillId="7" borderId="355" xfId="21" applyNumberFormat="1" applyFont="1" applyFill="1" applyBorder="1" applyAlignment="1">
      <alignment horizontal="center"/>
    </xf>
    <xf numFmtId="0" fontId="0" fillId="8" borderId="317" xfId="21" applyFont="1" applyFill="1" applyBorder="1" applyAlignment="1">
      <alignment horizontal="center"/>
    </xf>
    <xf numFmtId="3" fontId="40" fillId="16" borderId="362" xfId="21" applyNumberFormat="1" applyFont="1" applyFill="1" applyBorder="1"/>
    <xf numFmtId="0" fontId="38" fillId="7" borderId="313" xfId="21" applyFont="1" applyFill="1" applyBorder="1"/>
    <xf numFmtId="0" fontId="0" fillId="7" borderId="314" xfId="21" applyFont="1" applyFill="1" applyBorder="1"/>
    <xf numFmtId="3" fontId="66" fillId="18" borderId="289" xfId="15" applyFont="1" applyFill="1" applyBorder="1" applyAlignment="1" applyProtection="1"/>
    <xf numFmtId="3" fontId="66" fillId="18" borderId="289" xfId="15" applyFont="1" applyFill="1" applyBorder="1" applyAlignment="1" applyProtection="1">
      <alignment horizontal="right"/>
    </xf>
    <xf numFmtId="3" fontId="66" fillId="18" borderId="289" xfId="21" applyNumberFormat="1" applyFont="1" applyFill="1" applyBorder="1"/>
    <xf numFmtId="0" fontId="66" fillId="18" borderId="289" xfId="21" applyFont="1" applyFill="1" applyBorder="1"/>
    <xf numFmtId="3" fontId="0" fillId="0" borderId="367" xfId="15" applyFont="1" applyFill="1" applyBorder="1" applyAlignment="1" applyProtection="1"/>
    <xf numFmtId="3" fontId="3" fillId="0" borderId="367" xfId="15" applyFont="1" applyFill="1" applyBorder="1" applyAlignment="1" applyProtection="1"/>
    <xf numFmtId="3" fontId="2" fillId="21" borderId="372" xfId="15" applyFont="1" applyFill="1" applyBorder="1" applyAlignment="1" applyProtection="1">
      <alignment horizontal="center"/>
    </xf>
    <xf numFmtId="3" fontId="2" fillId="3" borderId="372" xfId="15" applyFont="1" applyFill="1" applyBorder="1" applyAlignment="1" applyProtection="1">
      <alignment horizontal="center"/>
    </xf>
    <xf numFmtId="3" fontId="2" fillId="3" borderId="373" xfId="15" applyFont="1" applyFill="1" applyBorder="1" applyAlignment="1" applyProtection="1">
      <alignment horizontal="center"/>
    </xf>
    <xf numFmtId="3" fontId="0" fillId="3" borderId="374" xfId="15" applyFont="1" applyFill="1" applyBorder="1" applyAlignment="1" applyProtection="1">
      <alignment horizontal="center" vertical="top" wrapText="1"/>
    </xf>
    <xf numFmtId="3" fontId="0" fillId="3" borderId="375" xfId="15" applyFont="1" applyFill="1" applyBorder="1" applyAlignment="1" applyProtection="1">
      <alignment horizontal="center" vertical="top" wrapText="1"/>
    </xf>
    <xf numFmtId="3" fontId="0" fillId="3" borderId="376" xfId="15" applyFont="1" applyFill="1" applyBorder="1" applyAlignment="1" applyProtection="1">
      <alignment horizontal="center" vertical="top" wrapText="1"/>
    </xf>
    <xf numFmtId="3" fontId="0" fillId="3" borderId="377" xfId="15" applyFont="1" applyFill="1" applyBorder="1" applyAlignment="1" applyProtection="1">
      <alignment horizontal="center" vertical="top" wrapText="1"/>
    </xf>
    <xf numFmtId="3" fontId="0" fillId="3" borderId="378" xfId="15" applyFont="1" applyFill="1" applyBorder="1" applyAlignment="1" applyProtection="1">
      <alignment horizontal="center" vertical="top" wrapText="1"/>
    </xf>
    <xf numFmtId="3" fontId="0" fillId="11" borderId="379" xfId="15" applyFont="1" applyFill="1" applyBorder="1" applyAlignment="1" applyProtection="1"/>
    <xf numFmtId="3" fontId="27" fillId="3" borderId="367" xfId="0" applyNumberFormat="1" applyFont="1" applyFill="1" applyBorder="1"/>
    <xf numFmtId="3" fontId="19" fillId="11" borderId="380" xfId="0" applyNumberFormat="1" applyFont="1" applyFill="1" applyBorder="1"/>
    <xf numFmtId="3" fontId="27" fillId="3" borderId="381" xfId="0" applyNumberFormat="1" applyFont="1" applyFill="1" applyBorder="1"/>
    <xf numFmtId="3" fontId="13" fillId="11" borderId="382" xfId="0" applyNumberFormat="1" applyFont="1" applyFill="1" applyBorder="1"/>
    <xf numFmtId="3" fontId="13" fillId="11" borderId="383" xfId="0" applyNumberFormat="1" applyFont="1" applyFill="1" applyBorder="1"/>
    <xf numFmtId="3" fontId="13" fillId="11" borderId="379" xfId="15" applyFont="1" applyFill="1" applyBorder="1" applyAlignment="1" applyProtection="1"/>
    <xf numFmtId="3" fontId="0" fillId="11" borderId="384" xfId="15" applyFont="1" applyFill="1" applyBorder="1" applyAlignment="1" applyProtection="1"/>
    <xf numFmtId="3" fontId="3" fillId="3" borderId="385" xfId="15" applyFont="1" applyFill="1" applyBorder="1" applyAlignment="1" applyProtection="1">
      <alignment horizontal="center" vertical="top" wrapText="1"/>
    </xf>
    <xf numFmtId="3" fontId="0" fillId="11" borderId="386" xfId="15" applyFont="1" applyFill="1" applyBorder="1" applyAlignment="1" applyProtection="1"/>
    <xf numFmtId="3" fontId="27" fillId="3" borderId="386" xfId="0" applyNumberFormat="1" applyFont="1" applyFill="1" applyBorder="1"/>
    <xf numFmtId="3" fontId="27" fillId="3" borderId="368" xfId="0" applyNumberFormat="1" applyFont="1" applyFill="1" applyBorder="1"/>
    <xf numFmtId="3" fontId="19" fillId="11" borderId="387" xfId="0" applyNumberFormat="1" applyFont="1" applyFill="1" applyBorder="1"/>
    <xf numFmtId="3" fontId="27" fillId="3" borderId="387" xfId="0" applyNumberFormat="1" applyFont="1" applyFill="1" applyBorder="1"/>
    <xf numFmtId="3" fontId="13" fillId="11" borderId="387" xfId="0" applyNumberFormat="1" applyFont="1" applyFill="1" applyBorder="1"/>
    <xf numFmtId="3" fontId="13" fillId="11" borderId="388" xfId="0" applyNumberFormat="1" applyFont="1" applyFill="1" applyBorder="1"/>
    <xf numFmtId="3" fontId="13" fillId="11" borderId="173" xfId="15" applyFont="1" applyFill="1" applyBorder="1" applyAlignment="1" applyProtection="1"/>
    <xf numFmtId="3" fontId="13" fillId="11" borderId="389" xfId="15" applyFont="1" applyFill="1" applyBorder="1" applyAlignment="1" applyProtection="1"/>
    <xf numFmtId="182" fontId="13" fillId="33" borderId="389" xfId="15" applyNumberFormat="1" applyFont="1" applyFill="1" applyBorder="1" applyAlignment="1" applyProtection="1">
      <protection locked="0"/>
    </xf>
    <xf numFmtId="3" fontId="66" fillId="10" borderId="391" xfId="1" applyNumberFormat="1" applyFont="1" applyFill="1" applyBorder="1" applyAlignment="1" applyProtection="1"/>
    <xf numFmtId="3" fontId="66" fillId="10" borderId="392" xfId="1" applyNumberFormat="1" applyFont="1" applyFill="1" applyBorder="1" applyAlignment="1" applyProtection="1"/>
    <xf numFmtId="3" fontId="68" fillId="10" borderId="393" xfId="15" applyFont="1" applyFill="1" applyBorder="1" applyAlignment="1" applyProtection="1"/>
    <xf numFmtId="3" fontId="0" fillId="0" borderId="394" xfId="15" applyFont="1" applyFill="1" applyBorder="1" applyAlignment="1" applyProtection="1"/>
    <xf numFmtId="3" fontId="2" fillId="3" borderId="354" xfId="15" applyFont="1" applyFill="1" applyBorder="1" applyAlignment="1" applyProtection="1">
      <alignment horizontal="center"/>
    </xf>
    <xf numFmtId="3" fontId="2" fillId="3" borderId="327" xfId="15" applyFont="1" applyFill="1" applyBorder="1" applyAlignment="1" applyProtection="1">
      <alignment horizontal="center"/>
    </xf>
    <xf numFmtId="3" fontId="0" fillId="3" borderId="395" xfId="15" applyFont="1" applyFill="1" applyBorder="1" applyAlignment="1" applyProtection="1">
      <alignment horizontal="center" vertical="top" wrapText="1"/>
    </xf>
    <xf numFmtId="3" fontId="0" fillId="3" borderId="355" xfId="15" applyFont="1" applyFill="1" applyBorder="1" applyAlignment="1" applyProtection="1">
      <alignment horizontal="center" vertical="top" wrapText="1"/>
    </xf>
    <xf numFmtId="3" fontId="0" fillId="3" borderId="360" xfId="15" applyFont="1" applyFill="1" applyBorder="1" applyAlignment="1" applyProtection="1">
      <alignment horizontal="center" vertical="top" wrapText="1"/>
    </xf>
    <xf numFmtId="3" fontId="3" fillId="3" borderId="355" xfId="15" applyFont="1" applyFill="1" applyBorder="1" applyAlignment="1" applyProtection="1">
      <alignment horizontal="center" vertical="top" wrapText="1"/>
    </xf>
    <xf numFmtId="3" fontId="0" fillId="3" borderId="396" xfId="15" applyFont="1" applyFill="1" applyBorder="1" applyAlignment="1" applyProtection="1">
      <alignment horizontal="center" vertical="top" wrapText="1"/>
    </xf>
    <xf numFmtId="3" fontId="0" fillId="11" borderId="397" xfId="15" applyFont="1" applyFill="1" applyBorder="1" applyAlignment="1" applyProtection="1"/>
    <xf numFmtId="3" fontId="19" fillId="11" borderId="398" xfId="1" applyNumberFormat="1" applyFont="1" applyFill="1" applyBorder="1" applyAlignment="1" applyProtection="1"/>
    <xf numFmtId="3" fontId="13" fillId="11" borderId="398" xfId="1" applyNumberFormat="1" applyFont="1" applyFill="1" applyBorder="1" applyAlignment="1" applyProtection="1"/>
    <xf numFmtId="3" fontId="13" fillId="11" borderId="399" xfId="1" applyNumberFormat="1" applyFont="1" applyFill="1" applyBorder="1" applyAlignment="1" applyProtection="1"/>
    <xf numFmtId="0" fontId="0" fillId="3" borderId="400" xfId="0" applyFill="1" applyBorder="1" applyAlignment="1">
      <alignment horizontal="center"/>
    </xf>
    <xf numFmtId="3" fontId="2" fillId="3" borderId="401" xfId="15" applyFont="1" applyFill="1" applyBorder="1" applyAlignment="1" applyProtection="1">
      <alignment horizontal="center"/>
    </xf>
    <xf numFmtId="3" fontId="2" fillId="3" borderId="402" xfId="15" applyFont="1" applyFill="1" applyBorder="1" applyAlignment="1" applyProtection="1">
      <alignment horizontal="center"/>
    </xf>
    <xf numFmtId="3" fontId="19" fillId="11" borderId="387" xfId="1" applyNumberFormat="1" applyFont="1" applyFill="1" applyBorder="1" applyAlignment="1" applyProtection="1"/>
    <xf numFmtId="3" fontId="27" fillId="3" borderId="388" xfId="0" applyNumberFormat="1" applyFont="1" applyFill="1" applyBorder="1"/>
    <xf numFmtId="3" fontId="13" fillId="11" borderId="403" xfId="1" applyNumberFormat="1" applyFont="1" applyFill="1" applyBorder="1" applyAlignment="1" applyProtection="1"/>
    <xf numFmtId="3" fontId="13" fillId="11" borderId="404" xfId="1" applyNumberFormat="1" applyFont="1" applyFill="1" applyBorder="1" applyAlignment="1" applyProtection="1"/>
    <xf numFmtId="3" fontId="13" fillId="11" borderId="405" xfId="15" applyFont="1" applyFill="1" applyBorder="1" applyAlignment="1" applyProtection="1">
      <protection locked="0"/>
    </xf>
    <xf numFmtId="0" fontId="0" fillId="11" borderId="379" xfId="0" applyFill="1" applyBorder="1"/>
    <xf numFmtId="3" fontId="66" fillId="18" borderId="390" xfId="15" applyFont="1" applyFill="1" applyBorder="1" applyAlignment="1" applyProtection="1"/>
    <xf numFmtId="0" fontId="0" fillId="0" borderId="368" xfId="0" applyBorder="1"/>
    <xf numFmtId="3" fontId="19" fillId="11" borderId="406" xfId="1" applyNumberFormat="1" applyFont="1" applyFill="1" applyBorder="1" applyAlignment="1" applyProtection="1"/>
    <xf numFmtId="3" fontId="27" fillId="3" borderId="407" xfId="0" applyNumberFormat="1" applyFont="1" applyFill="1" applyBorder="1"/>
    <xf numFmtId="3" fontId="13" fillId="11" borderId="408" xfId="1" applyNumberFormat="1" applyFont="1" applyFill="1" applyBorder="1" applyAlignment="1" applyProtection="1"/>
    <xf numFmtId="3" fontId="13" fillId="11" borderId="409" xfId="1" applyNumberFormat="1" applyFont="1" applyFill="1" applyBorder="1" applyAlignment="1" applyProtection="1"/>
    <xf numFmtId="3" fontId="13" fillId="11" borderId="387" xfId="1" applyNumberFormat="1" applyFont="1" applyFill="1" applyBorder="1" applyAlignment="1" applyProtection="1"/>
    <xf numFmtId="3" fontId="13" fillId="11" borderId="410" xfId="15" applyFont="1" applyFill="1" applyBorder="1" applyAlignment="1" applyProtection="1"/>
    <xf numFmtId="3" fontId="2" fillId="3" borderId="413" xfId="15" applyFont="1" applyFill="1" applyBorder="1" applyAlignment="1" applyProtection="1">
      <alignment horizontal="center"/>
    </xf>
    <xf numFmtId="3" fontId="2" fillId="3" borderId="407" xfId="15" applyFont="1" applyFill="1" applyBorder="1" applyAlignment="1" applyProtection="1"/>
    <xf numFmtId="0" fontId="2" fillId="5" borderId="414" xfId="0" applyFont="1" applyFill="1" applyBorder="1"/>
    <xf numFmtId="0" fontId="2" fillId="5" borderId="415" xfId="0" applyFont="1" applyFill="1" applyBorder="1"/>
    <xf numFmtId="3" fontId="3" fillId="3" borderId="361" xfId="15" applyFont="1" applyFill="1" applyBorder="1" applyAlignment="1" applyProtection="1">
      <alignment horizontal="center"/>
    </xf>
    <xf numFmtId="0" fontId="0" fillId="33" borderId="361" xfId="0" applyFill="1" applyBorder="1" applyProtection="1">
      <protection locked="0"/>
    </xf>
    <xf numFmtId="3" fontId="59" fillId="33" borderId="361" xfId="1" applyNumberFormat="1" applyFill="1" applyBorder="1" applyAlignment="1" applyProtection="1">
      <alignment horizontal="right"/>
      <protection locked="0"/>
    </xf>
    <xf numFmtId="0" fontId="2" fillId="33" borderId="361" xfId="0" applyFont="1" applyFill="1" applyBorder="1" applyProtection="1">
      <protection locked="0"/>
    </xf>
    <xf numFmtId="3" fontId="0" fillId="5" borderId="361" xfId="0" applyNumberFormat="1" applyFill="1" applyBorder="1" applyAlignment="1">
      <alignment horizontal="right"/>
    </xf>
    <xf numFmtId="3" fontId="59" fillId="5" borderId="361" xfId="1" applyNumberFormat="1" applyFill="1" applyBorder="1" applyAlignment="1" applyProtection="1">
      <alignment horizontal="right"/>
    </xf>
    <xf numFmtId="3" fontId="3" fillId="5" borderId="361" xfId="1" applyNumberFormat="1" applyFont="1" applyFill="1" applyBorder="1" applyAlignment="1" applyProtection="1">
      <alignment horizontal="right"/>
    </xf>
    <xf numFmtId="0" fontId="2" fillId="33" borderId="417" xfId="0" applyFont="1" applyFill="1" applyBorder="1" applyProtection="1">
      <protection locked="0"/>
    </xf>
    <xf numFmtId="3" fontId="0" fillId="5" borderId="417" xfId="0" applyNumberFormat="1" applyFill="1" applyBorder="1" applyAlignment="1">
      <alignment horizontal="right"/>
    </xf>
    <xf numFmtId="3" fontId="102" fillId="5" borderId="361" xfId="1" applyNumberFormat="1" applyFont="1" applyFill="1" applyBorder="1" applyAlignment="1" applyProtection="1">
      <alignment horizontal="right"/>
    </xf>
    <xf numFmtId="0" fontId="0" fillId="33" borderId="417" xfId="0" applyFill="1" applyBorder="1" applyProtection="1">
      <protection locked="0"/>
    </xf>
    <xf numFmtId="3" fontId="59" fillId="33" borderId="417" xfId="1" applyNumberFormat="1" applyFill="1" applyBorder="1" applyAlignment="1" applyProtection="1">
      <alignment horizontal="right"/>
      <protection locked="0"/>
    </xf>
    <xf numFmtId="3" fontId="66" fillId="10" borderId="379" xfId="15" applyFont="1" applyFill="1" applyBorder="1" applyAlignment="1" applyProtection="1">
      <alignment horizontal="center"/>
    </xf>
    <xf numFmtId="3" fontId="70" fillId="18" borderId="411" xfId="15" applyFont="1" applyFill="1" applyBorder="1" applyAlignment="1" applyProtection="1"/>
    <xf numFmtId="0" fontId="70" fillId="18" borderId="368" xfId="0" applyFont="1" applyFill="1" applyBorder="1"/>
    <xf numFmtId="3" fontId="68" fillId="10" borderId="368" xfId="0" applyNumberFormat="1" applyFont="1" applyFill="1" applyBorder="1"/>
    <xf numFmtId="0" fontId="2" fillId="5" borderId="418" xfId="0" applyFont="1" applyFill="1" applyBorder="1"/>
    <xf numFmtId="0" fontId="2" fillId="5" borderId="419" xfId="0" applyFont="1" applyFill="1" applyBorder="1"/>
    <xf numFmtId="3" fontId="0" fillId="11" borderId="420" xfId="15" applyFont="1" applyFill="1" applyBorder="1" applyAlignment="1" applyProtection="1">
      <alignment horizontal="center"/>
    </xf>
    <xf numFmtId="3" fontId="0" fillId="11" borderId="352" xfId="11" applyFont="1" applyFill="1" applyBorder="1" applyAlignment="1" applyProtection="1"/>
    <xf numFmtId="3" fontId="0" fillId="11" borderId="205" xfId="11" applyFont="1" applyFill="1" applyBorder="1" applyAlignment="1" applyProtection="1"/>
    <xf numFmtId="0" fontId="34" fillId="33" borderId="361" xfId="0" applyFont="1" applyFill="1" applyBorder="1" applyProtection="1">
      <protection locked="0"/>
    </xf>
    <xf numFmtId="3" fontId="34" fillId="11" borderId="361" xfId="0" applyNumberFormat="1" applyFont="1" applyFill="1" applyBorder="1" applyAlignment="1">
      <alignment horizontal="right"/>
    </xf>
    <xf numFmtId="3" fontId="3" fillId="11" borderId="416" xfId="11" applyFont="1" applyFill="1" applyBorder="1" applyAlignment="1" applyProtection="1"/>
    <xf numFmtId="3" fontId="34" fillId="11" borderId="361" xfId="0" applyNumberFormat="1" applyFont="1" applyFill="1" applyBorder="1"/>
    <xf numFmtId="3" fontId="102" fillId="11" borderId="361" xfId="0" applyNumberFormat="1" applyFont="1" applyFill="1" applyBorder="1"/>
    <xf numFmtId="0" fontId="34" fillId="33" borderId="417" xfId="0" applyFont="1" applyFill="1" applyBorder="1" applyProtection="1">
      <protection locked="0"/>
    </xf>
    <xf numFmtId="3" fontId="102" fillId="33" borderId="417" xfId="0" applyNumberFormat="1" applyFont="1" applyFill="1" applyBorder="1" applyAlignment="1" applyProtection="1">
      <alignment horizontal="right"/>
      <protection locked="0"/>
    </xf>
    <xf numFmtId="3" fontId="0" fillId="33" borderId="416" xfId="11" applyFont="1" applyFill="1" applyBorder="1" applyAlignment="1" applyProtection="1">
      <protection locked="0"/>
    </xf>
    <xf numFmtId="3" fontId="102" fillId="33" borderId="361" xfId="0" applyNumberFormat="1" applyFont="1" applyFill="1" applyBorder="1" applyAlignment="1" applyProtection="1">
      <alignment horizontal="right"/>
      <protection locked="0"/>
    </xf>
    <xf numFmtId="3" fontId="0" fillId="33" borderId="416" xfId="15" applyFont="1" applyFill="1" applyBorder="1" applyAlignment="1" applyProtection="1">
      <protection locked="0"/>
    </xf>
    <xf numFmtId="3" fontId="3" fillId="33" borderId="352" xfId="15" applyFont="1" applyFill="1" applyBorder="1" applyAlignment="1" applyProtection="1">
      <protection locked="0"/>
    </xf>
    <xf numFmtId="3" fontId="3" fillId="33" borderId="205" xfId="15" applyFont="1" applyFill="1" applyBorder="1" applyAlignment="1" applyProtection="1">
      <protection locked="0"/>
    </xf>
    <xf numFmtId="3" fontId="3" fillId="33" borderId="416" xfId="11" applyFont="1" applyFill="1" applyBorder="1" applyAlignment="1" applyProtection="1">
      <protection locked="0"/>
    </xf>
    <xf numFmtId="3" fontId="0" fillId="33" borderId="352" xfId="11" applyFont="1" applyFill="1" applyBorder="1" applyAlignment="1" applyProtection="1">
      <protection locked="0"/>
    </xf>
    <xf numFmtId="3" fontId="0" fillId="33" borderId="205" xfId="11" applyFont="1" applyFill="1" applyBorder="1" applyAlignment="1" applyProtection="1">
      <protection locked="0"/>
    </xf>
    <xf numFmtId="0" fontId="34" fillId="33" borderId="425" xfId="0" applyFont="1" applyFill="1" applyBorder="1" applyProtection="1">
      <protection locked="0"/>
    </xf>
    <xf numFmtId="3" fontId="102" fillId="33" borderId="425" xfId="0" applyNumberFormat="1" applyFont="1" applyFill="1" applyBorder="1" applyAlignment="1" applyProtection="1">
      <alignment horizontal="right"/>
      <protection locked="0"/>
    </xf>
    <xf numFmtId="3" fontId="66" fillId="10" borderId="412" xfId="15" applyFont="1" applyFill="1" applyBorder="1" applyAlignment="1" applyProtection="1"/>
    <xf numFmtId="0" fontId="75" fillId="0" borderId="367" xfId="45" applyBorder="1"/>
    <xf numFmtId="3" fontId="97" fillId="33" borderId="429" xfId="45" applyNumberFormat="1" applyFont="1" applyFill="1" applyBorder="1" applyAlignment="1" applyProtection="1">
      <alignment horizontal="center"/>
      <protection locked="0"/>
    </xf>
    <xf numFmtId="0" fontId="97" fillId="33" borderId="429" xfId="45" applyFont="1" applyFill="1" applyBorder="1" applyAlignment="1" applyProtection="1">
      <alignment horizontal="center"/>
      <protection locked="0"/>
    </xf>
    <xf numFmtId="0" fontId="76" fillId="7" borderId="429" xfId="45" applyFont="1" applyFill="1" applyBorder="1" applyAlignment="1">
      <alignment wrapText="1"/>
    </xf>
    <xf numFmtId="0" fontId="76" fillId="7" borderId="429" xfId="45" applyFont="1" applyFill="1" applyBorder="1"/>
    <xf numFmtId="0" fontId="97" fillId="7" borderId="428" xfId="45" applyFont="1" applyFill="1" applyBorder="1" applyAlignment="1">
      <alignment horizontal="left"/>
    </xf>
    <xf numFmtId="0" fontId="97" fillId="46" borderId="429" xfId="45" applyFont="1" applyFill="1" applyBorder="1" applyAlignment="1">
      <alignment horizontal="center"/>
    </xf>
    <xf numFmtId="0" fontId="75" fillId="61" borderId="429" xfId="45" applyFill="1" applyBorder="1"/>
    <xf numFmtId="0" fontId="75" fillId="33" borderId="429" xfId="45" applyFill="1" applyBorder="1" applyProtection="1">
      <protection locked="0"/>
    </xf>
    <xf numFmtId="4" fontId="59" fillId="61" borderId="429" xfId="1" applyFill="1" applyBorder="1"/>
    <xf numFmtId="2" fontId="97" fillId="33" borderId="429" xfId="45" applyNumberFormat="1" applyFont="1" applyFill="1" applyBorder="1" applyAlignment="1" applyProtection="1">
      <alignment horizontal="center"/>
      <protection locked="0"/>
    </xf>
    <xf numFmtId="0" fontId="114" fillId="61" borderId="429" xfId="45" applyFont="1" applyFill="1" applyBorder="1"/>
    <xf numFmtId="4" fontId="97" fillId="7" borderId="429" xfId="45" applyNumberFormat="1" applyFont="1" applyFill="1" applyBorder="1" applyAlignment="1">
      <alignment horizontal="center"/>
    </xf>
    <xf numFmtId="3" fontId="97" fillId="7" borderId="429" xfId="45" applyNumberFormat="1" applyFont="1" applyFill="1" applyBorder="1" applyAlignment="1">
      <alignment horizontal="center"/>
    </xf>
    <xf numFmtId="4" fontId="97" fillId="33" borderId="429" xfId="46" applyNumberFormat="1" applyFont="1" applyFill="1" applyBorder="1" applyAlignment="1" applyProtection="1">
      <alignment horizontal="center"/>
      <protection locked="0"/>
    </xf>
    <xf numFmtId="170" fontId="97" fillId="33" borderId="429" xfId="45" applyNumberFormat="1" applyFont="1" applyFill="1" applyBorder="1" applyAlignment="1" applyProtection="1">
      <alignment horizontal="center"/>
      <protection locked="0"/>
    </xf>
    <xf numFmtId="0" fontId="114" fillId="7" borderId="429" xfId="45" applyFont="1" applyFill="1" applyBorder="1"/>
    <xf numFmtId="0" fontId="75" fillId="7" borderId="429" xfId="45" applyFill="1" applyBorder="1"/>
    <xf numFmtId="176" fontId="97" fillId="7" borderId="429" xfId="45" applyNumberFormat="1" applyFont="1" applyFill="1" applyBorder="1" applyAlignment="1">
      <alignment horizontal="center"/>
    </xf>
    <xf numFmtId="0" fontId="75" fillId="40" borderId="429" xfId="45" applyFill="1" applyBorder="1"/>
    <xf numFmtId="4" fontId="59" fillId="40" borderId="429" xfId="1" applyFill="1" applyBorder="1"/>
    <xf numFmtId="170" fontId="174" fillId="33" borderId="429" xfId="45" applyNumberFormat="1" applyFont="1" applyFill="1" applyBorder="1" applyAlignment="1" applyProtection="1">
      <alignment horizontal="center"/>
      <protection locked="0"/>
    </xf>
    <xf numFmtId="170" fontId="97" fillId="60" borderId="429" xfId="45" applyNumberFormat="1" applyFont="1" applyFill="1" applyBorder="1" applyAlignment="1" applyProtection="1">
      <alignment horizontal="center"/>
      <protection locked="0"/>
    </xf>
    <xf numFmtId="4" fontId="97" fillId="33" borderId="429" xfId="45" applyNumberFormat="1" applyFont="1" applyFill="1" applyBorder="1" applyAlignment="1" applyProtection="1">
      <alignment horizontal="center"/>
      <protection locked="0"/>
    </xf>
    <xf numFmtId="4" fontId="174" fillId="33" borderId="429" xfId="45" applyNumberFormat="1" applyFont="1" applyFill="1" applyBorder="1" applyAlignment="1" applyProtection="1">
      <alignment horizontal="center"/>
      <protection locked="0"/>
    </xf>
    <xf numFmtId="4" fontId="97" fillId="7" borderId="429" xfId="46" applyNumberFormat="1" applyFont="1" applyFill="1" applyBorder="1" applyAlignment="1">
      <alignment horizontal="right"/>
    </xf>
    <xf numFmtId="4" fontId="97" fillId="7" borderId="425" xfId="46" applyNumberFormat="1" applyFont="1" applyFill="1" applyBorder="1" applyAlignment="1">
      <alignment horizontal="right"/>
    </xf>
    <xf numFmtId="4" fontId="97" fillId="7" borderId="425" xfId="46" applyNumberFormat="1" applyFont="1" applyFill="1" applyBorder="1" applyAlignment="1"/>
    <xf numFmtId="4" fontId="97" fillId="33" borderId="429" xfId="46" applyNumberFormat="1" applyFont="1" applyFill="1" applyBorder="1" applyAlignment="1" applyProtection="1">
      <protection locked="0"/>
    </xf>
    <xf numFmtId="0" fontId="75" fillId="7" borderId="429" xfId="45" applyFill="1" applyBorder="1" applyAlignment="1">
      <alignment wrapText="1"/>
    </xf>
    <xf numFmtId="0" fontId="75" fillId="62" borderId="429" xfId="45" applyFill="1" applyBorder="1"/>
    <xf numFmtId="4" fontId="59" fillId="62" borderId="429" xfId="1" applyFill="1" applyBorder="1"/>
    <xf numFmtId="0" fontId="75" fillId="7" borderId="429" xfId="45" applyFill="1" applyBorder="1" applyAlignment="1">
      <alignment horizontal="left" wrapText="1"/>
    </xf>
    <xf numFmtId="0" fontId="75" fillId="42" borderId="429" xfId="45" applyFill="1" applyBorder="1"/>
    <xf numFmtId="4" fontId="59" fillId="42" borderId="429" xfId="1" applyFill="1" applyBorder="1"/>
    <xf numFmtId="4" fontId="97" fillId="7" borderId="429" xfId="46" applyNumberFormat="1" applyFont="1" applyFill="1" applyBorder="1" applyAlignment="1"/>
    <xf numFmtId="0" fontId="75" fillId="0" borderId="421" xfId="45" applyBorder="1"/>
    <xf numFmtId="0" fontId="75" fillId="0" borderId="352" xfId="45" applyBorder="1"/>
    <xf numFmtId="4" fontId="75" fillId="0" borderId="429" xfId="45" applyNumberFormat="1" applyBorder="1"/>
    <xf numFmtId="4" fontId="75" fillId="63" borderId="429" xfId="45" applyNumberFormat="1" applyFill="1" applyBorder="1"/>
    <xf numFmtId="4" fontId="59" fillId="63" borderId="429" xfId="1" applyFill="1" applyBorder="1"/>
    <xf numFmtId="4" fontId="97" fillId="7" borderId="430" xfId="46" applyNumberFormat="1" applyFont="1" applyFill="1" applyBorder="1" applyAlignment="1"/>
    <xf numFmtId="4" fontId="97" fillId="7" borderId="431" xfId="46" applyNumberFormat="1" applyFont="1" applyFill="1" applyBorder="1" applyAlignment="1"/>
    <xf numFmtId="4" fontId="111" fillId="33" borderId="417" xfId="46" applyNumberFormat="1" applyFont="1" applyFill="1" applyBorder="1" applyAlignment="1" applyProtection="1">
      <protection locked="0"/>
    </xf>
    <xf numFmtId="4" fontId="111" fillId="33" borderId="349" xfId="46" applyNumberFormat="1" applyFont="1" applyFill="1" applyBorder="1" applyAlignment="1" applyProtection="1">
      <protection locked="0"/>
    </xf>
    <xf numFmtId="4" fontId="111" fillId="33" borderId="429" xfId="46" applyNumberFormat="1" applyFont="1" applyFill="1" applyBorder="1" applyAlignment="1" applyProtection="1">
      <protection locked="0"/>
    </xf>
    <xf numFmtId="4" fontId="111" fillId="7" borderId="417" xfId="46" applyNumberFormat="1" applyFont="1" applyFill="1" applyBorder="1" applyAlignment="1"/>
    <xf numFmtId="4" fontId="97" fillId="33" borderId="417" xfId="46" applyNumberFormat="1" applyFont="1" applyFill="1" applyBorder="1" applyAlignment="1" applyProtection="1">
      <alignment horizontal="center"/>
      <protection locked="0"/>
    </xf>
    <xf numFmtId="4" fontId="111" fillId="7" borderId="429" xfId="46" applyNumberFormat="1" applyFont="1" applyFill="1" applyBorder="1" applyAlignment="1" applyProtection="1"/>
    <xf numFmtId="4" fontId="152" fillId="10" borderId="429" xfId="46" applyNumberFormat="1" applyFont="1" applyFill="1" applyBorder="1" applyAlignment="1"/>
    <xf numFmtId="3" fontId="152" fillId="10" borderId="384" xfId="45" applyNumberFormat="1" applyFont="1" applyFill="1" applyBorder="1" applyAlignment="1">
      <alignment horizontal="left"/>
    </xf>
    <xf numFmtId="4" fontId="152" fillId="10" borderId="367" xfId="46" applyNumberFormat="1" applyFont="1" applyFill="1" applyBorder="1" applyAlignment="1"/>
    <xf numFmtId="3" fontId="152" fillId="10" borderId="412" xfId="45" applyNumberFormat="1" applyFont="1" applyFill="1" applyBorder="1" applyAlignment="1">
      <alignment horizontal="left"/>
    </xf>
    <xf numFmtId="3" fontId="111" fillId="7" borderId="433" xfId="0" applyNumberFormat="1" applyFont="1" applyFill="1" applyBorder="1" applyAlignment="1">
      <alignment horizontal="center"/>
    </xf>
    <xf numFmtId="3" fontId="111" fillId="7" borderId="434" xfId="0" applyNumberFormat="1" applyFont="1" applyFill="1" applyBorder="1" applyAlignment="1">
      <alignment horizontal="center"/>
    </xf>
    <xf numFmtId="3" fontId="97" fillId="7" borderId="429" xfId="0" applyNumberFormat="1" applyFont="1" applyFill="1" applyBorder="1"/>
    <xf numFmtId="0" fontId="152" fillId="9" borderId="435" xfId="21" applyFont="1" applyFill="1" applyBorder="1"/>
    <xf numFmtId="3" fontId="152" fillId="10" borderId="436" xfId="0" applyNumberFormat="1" applyFont="1" applyFill="1" applyBorder="1"/>
    <xf numFmtId="0" fontId="159" fillId="27" borderId="437" xfId="21" applyFont="1" applyFill="1" applyBorder="1"/>
    <xf numFmtId="9" fontId="97" fillId="33" borderId="425" xfId="26" applyFont="1" applyFill="1" applyBorder="1" applyAlignment="1" applyProtection="1">
      <alignment horizontal="center"/>
      <protection locked="0"/>
    </xf>
    <xf numFmtId="0" fontId="154" fillId="14" borderId="440" xfId="45" applyFont="1" applyFill="1" applyBorder="1" applyAlignment="1">
      <alignment vertical="center" textRotation="90" wrapText="1"/>
    </xf>
    <xf numFmtId="0" fontId="97" fillId="14" borderId="441" xfId="45" applyFont="1" applyFill="1" applyBorder="1" applyAlignment="1">
      <alignment horizontal="left" wrapText="1"/>
    </xf>
    <xf numFmtId="4" fontId="97" fillId="33" borderId="441" xfId="45" applyNumberFormat="1" applyFont="1" applyFill="1" applyBorder="1" applyAlignment="1" applyProtection="1">
      <alignment horizontal="center"/>
      <protection locked="0"/>
    </xf>
    <xf numFmtId="4" fontId="97" fillId="60" borderId="441" xfId="45" applyNumberFormat="1" applyFont="1" applyFill="1" applyBorder="1" applyAlignment="1">
      <alignment horizontal="center"/>
    </xf>
    <xf numFmtId="0" fontId="154" fillId="14" borderId="442" xfId="45" applyFont="1" applyFill="1" applyBorder="1" applyAlignment="1">
      <alignment vertical="center" textRotation="90" wrapText="1"/>
    </xf>
    <xf numFmtId="0" fontId="97" fillId="14" borderId="429" xfId="45" applyFont="1" applyFill="1" applyBorder="1" applyAlignment="1">
      <alignment horizontal="left" wrapText="1"/>
    </xf>
    <xf numFmtId="4" fontId="97" fillId="60" borderId="429" xfId="45" applyNumberFormat="1" applyFont="1" applyFill="1" applyBorder="1" applyAlignment="1">
      <alignment horizontal="center"/>
    </xf>
    <xf numFmtId="0" fontId="97" fillId="14" borderId="443" xfId="45" applyFont="1" applyFill="1" applyBorder="1" applyAlignment="1">
      <alignment horizontal="left" wrapText="1"/>
    </xf>
    <xf numFmtId="4" fontId="97" fillId="14" borderId="443" xfId="1" applyFont="1" applyFill="1" applyBorder="1" applyAlignment="1" applyProtection="1">
      <alignment horizontal="center"/>
    </xf>
    <xf numFmtId="0" fontId="97" fillId="7" borderId="429" xfId="45" applyFont="1" applyFill="1" applyBorder="1" applyAlignment="1">
      <alignment horizontal="left" wrapText="1"/>
    </xf>
    <xf numFmtId="2" fontId="97" fillId="33" borderId="441" xfId="45" applyNumberFormat="1" applyFont="1" applyFill="1" applyBorder="1" applyAlignment="1" applyProtection="1">
      <alignment horizontal="center"/>
      <protection locked="0"/>
    </xf>
    <xf numFmtId="4" fontId="97" fillId="33" borderId="417" xfId="45" applyNumberFormat="1" applyFont="1" applyFill="1" applyBorder="1" applyAlignment="1" applyProtection="1">
      <alignment horizontal="center"/>
      <protection locked="0"/>
    </xf>
    <xf numFmtId="2" fontId="97" fillId="33" borderId="441" xfId="45" applyNumberFormat="1" applyFont="1" applyFill="1" applyBorder="1" applyAlignment="1">
      <alignment horizontal="center"/>
    </xf>
    <xf numFmtId="2" fontId="97" fillId="60" borderId="441" xfId="45" applyNumberFormat="1" applyFont="1" applyFill="1" applyBorder="1" applyAlignment="1">
      <alignment horizontal="center"/>
    </xf>
    <xf numFmtId="3" fontId="87" fillId="10" borderId="444" xfId="45" applyNumberFormat="1" applyFont="1" applyFill="1" applyBorder="1"/>
    <xf numFmtId="0" fontId="97" fillId="7" borderId="443" xfId="45" applyFont="1" applyFill="1" applyBorder="1" applyAlignment="1">
      <alignment horizontal="left" wrapText="1"/>
    </xf>
    <xf numFmtId="4" fontId="97" fillId="7" borderId="443" xfId="1" applyFont="1" applyFill="1" applyBorder="1" applyAlignment="1" applyProtection="1">
      <alignment horizontal="center"/>
    </xf>
    <xf numFmtId="0" fontId="97" fillId="30" borderId="429" xfId="45" applyFont="1" applyFill="1" applyBorder="1" applyAlignment="1">
      <alignment horizontal="left" wrapText="1"/>
    </xf>
    <xf numFmtId="0" fontId="97" fillId="30" borderId="443" xfId="45" applyFont="1" applyFill="1" applyBorder="1" applyAlignment="1">
      <alignment horizontal="left" wrapText="1"/>
    </xf>
    <xf numFmtId="4" fontId="97" fillId="30" borderId="443" xfId="1" applyFont="1" applyFill="1" applyBorder="1" applyAlignment="1" applyProtection="1">
      <alignment horizontal="center"/>
    </xf>
    <xf numFmtId="0" fontId="111" fillId="7" borderId="445" xfId="45" applyFont="1" applyFill="1" applyBorder="1"/>
    <xf numFmtId="0" fontId="111" fillId="7" borderId="441" xfId="0" applyFont="1" applyFill="1" applyBorder="1"/>
    <xf numFmtId="0" fontId="111" fillId="7" borderId="420" xfId="45" applyFont="1" applyFill="1" applyBorder="1" applyAlignment="1">
      <alignment horizontal="center"/>
    </xf>
    <xf numFmtId="0" fontId="111" fillId="7" borderId="429" xfId="0" applyFont="1" applyFill="1" applyBorder="1"/>
    <xf numFmtId="0" fontId="114" fillId="7" borderId="420" xfId="45" applyFont="1" applyFill="1" applyBorder="1" applyAlignment="1">
      <alignment horizontal="center"/>
    </xf>
    <xf numFmtId="3" fontId="102" fillId="7" borderId="429" xfId="0" applyNumberFormat="1" applyFont="1" applyFill="1" applyBorder="1"/>
    <xf numFmtId="0" fontId="118" fillId="7" borderId="429" xfId="45" applyFont="1" applyFill="1" applyBorder="1"/>
    <xf numFmtId="0" fontId="151" fillId="33" borderId="446" xfId="45" applyFont="1" applyFill="1" applyBorder="1" applyAlignment="1" applyProtection="1">
      <alignment horizontal="center"/>
      <protection locked="0"/>
    </xf>
    <xf numFmtId="0" fontId="151" fillId="33" borderId="447" xfId="45" applyFont="1" applyFill="1" applyBorder="1" applyAlignment="1" applyProtection="1">
      <alignment horizontal="center"/>
      <protection locked="0"/>
    </xf>
    <xf numFmtId="0" fontId="151" fillId="33" borderId="445" xfId="45" applyFont="1" applyFill="1" applyBorder="1" applyAlignment="1" applyProtection="1">
      <alignment horizontal="center"/>
      <protection locked="0"/>
    </xf>
    <xf numFmtId="0" fontId="151" fillId="33" borderId="441" xfId="45" applyFont="1" applyFill="1" applyBorder="1" applyAlignment="1" applyProtection="1">
      <alignment horizontal="center"/>
      <protection locked="0"/>
    </xf>
    <xf numFmtId="0" fontId="151" fillId="33" borderId="414" xfId="45" applyFont="1" applyFill="1" applyBorder="1" applyAlignment="1" applyProtection="1">
      <alignment horizontal="center"/>
      <protection locked="0"/>
    </xf>
    <xf numFmtId="0" fontId="151" fillId="33" borderId="448" xfId="45" applyFont="1" applyFill="1" applyBorder="1" applyAlignment="1" applyProtection="1">
      <alignment horizontal="center"/>
      <protection locked="0"/>
    </xf>
    <xf numFmtId="0" fontId="151" fillId="33" borderId="449" xfId="45" applyFont="1" applyFill="1" applyBorder="1" applyAlignment="1" applyProtection="1">
      <alignment horizontal="center"/>
      <protection locked="0"/>
    </xf>
    <xf numFmtId="0" fontId="151" fillId="33" borderId="445" xfId="45" applyFont="1" applyFill="1" applyBorder="1" applyAlignment="1" applyProtection="1">
      <alignment horizontal="center" wrapText="1"/>
      <protection locked="0"/>
    </xf>
    <xf numFmtId="0" fontId="151" fillId="33" borderId="449" xfId="45" applyFont="1" applyFill="1" applyBorder="1" applyAlignment="1" applyProtection="1">
      <alignment horizontal="center" wrapText="1"/>
      <protection locked="0"/>
    </xf>
    <xf numFmtId="0" fontId="151" fillId="33" borderId="450" xfId="45" applyFont="1" applyFill="1" applyBorder="1" applyAlignment="1" applyProtection="1">
      <alignment horizontal="center"/>
      <protection locked="0"/>
    </xf>
    <xf numFmtId="0" fontId="151" fillId="33" borderId="447" xfId="45" applyFont="1" applyFill="1" applyBorder="1" applyAlignment="1" applyProtection="1">
      <alignment horizontal="center" wrapText="1"/>
      <protection locked="0"/>
    </xf>
    <xf numFmtId="0" fontId="84" fillId="53" borderId="429" xfId="45" applyFont="1" applyFill="1" applyBorder="1" applyAlignment="1">
      <alignment wrapText="1"/>
    </xf>
    <xf numFmtId="0" fontId="84" fillId="53" borderId="429" xfId="45" applyFont="1" applyFill="1" applyBorder="1"/>
    <xf numFmtId="0" fontId="84" fillId="64" borderId="429" xfId="45" applyFont="1" applyFill="1" applyBorder="1" applyAlignment="1">
      <alignment wrapText="1"/>
    </xf>
    <xf numFmtId="0" fontId="84" fillId="64" borderId="429" xfId="45" applyFont="1" applyFill="1" applyBorder="1"/>
    <xf numFmtId="0" fontId="84" fillId="65" borderId="429" xfId="45" applyFont="1" applyFill="1" applyBorder="1" applyAlignment="1">
      <alignment wrapText="1"/>
    </xf>
    <xf numFmtId="0" fontId="84" fillId="65" borderId="429" xfId="45" applyFont="1" applyFill="1" applyBorder="1"/>
    <xf numFmtId="0" fontId="84" fillId="66" borderId="429" xfId="45" applyFont="1" applyFill="1" applyBorder="1" applyAlignment="1">
      <alignment wrapText="1"/>
    </xf>
    <xf numFmtId="0" fontId="84" fillId="66" borderId="429" xfId="45" applyFont="1" applyFill="1" applyBorder="1" applyAlignment="1">
      <alignment horizontal="center" wrapText="1"/>
    </xf>
    <xf numFmtId="0" fontId="84" fillId="66" borderId="429" xfId="45" applyFont="1" applyFill="1" applyBorder="1"/>
    <xf numFmtId="0" fontId="84" fillId="68" borderId="429" xfId="45" applyFont="1" applyFill="1" applyBorder="1" applyAlignment="1">
      <alignment wrapText="1"/>
    </xf>
    <xf numFmtId="0" fontId="84" fillId="68" borderId="429" xfId="45" applyFont="1" applyFill="1" applyBorder="1" applyAlignment="1">
      <alignment horizontal="center" wrapText="1"/>
    </xf>
    <xf numFmtId="0" fontId="84" fillId="68" borderId="429" xfId="45" applyFont="1" applyFill="1" applyBorder="1"/>
    <xf numFmtId="0" fontId="84" fillId="70" borderId="429" xfId="45" applyFont="1" applyFill="1" applyBorder="1" applyAlignment="1">
      <alignment wrapText="1"/>
    </xf>
    <xf numFmtId="0" fontId="84" fillId="70" borderId="429" xfId="45" applyFont="1" applyFill="1" applyBorder="1" applyAlignment="1">
      <alignment horizontal="center" wrapText="1"/>
    </xf>
    <xf numFmtId="0" fontId="84" fillId="70" borderId="429" xfId="45" applyFont="1" applyFill="1" applyBorder="1"/>
    <xf numFmtId="0" fontId="84" fillId="64" borderId="429" xfId="45" applyFont="1" applyFill="1" applyBorder="1" applyAlignment="1">
      <alignment horizontal="center" wrapText="1"/>
    </xf>
    <xf numFmtId="0" fontId="97" fillId="33" borderId="420" xfId="45" applyFont="1" applyFill="1" applyBorder="1" applyAlignment="1" applyProtection="1">
      <alignment horizontal="center" wrapText="1"/>
      <protection locked="0"/>
    </xf>
    <xf numFmtId="0" fontId="97" fillId="33" borderId="452" xfId="45" applyFont="1" applyFill="1" applyBorder="1" applyAlignment="1" applyProtection="1">
      <alignment horizontal="center" wrapText="1"/>
      <protection locked="0"/>
    </xf>
    <xf numFmtId="0" fontId="97" fillId="33" borderId="417" xfId="45" applyFont="1" applyFill="1" applyBorder="1" applyAlignment="1" applyProtection="1">
      <alignment horizontal="center" wrapText="1"/>
      <protection locked="0"/>
    </xf>
    <xf numFmtId="0" fontId="97" fillId="33" borderId="453" xfId="45" applyFont="1" applyFill="1" applyBorder="1" applyAlignment="1" applyProtection="1">
      <alignment horizontal="center" wrapText="1"/>
      <protection locked="0"/>
    </xf>
    <xf numFmtId="0" fontId="97" fillId="45" borderId="424" xfId="45" applyFont="1" applyFill="1" applyBorder="1" applyAlignment="1">
      <alignment horizontal="center"/>
    </xf>
    <xf numFmtId="0" fontId="97" fillId="45" borderId="454" xfId="45" applyFont="1" applyFill="1" applyBorder="1" applyAlignment="1">
      <alignment horizontal="center"/>
    </xf>
    <xf numFmtId="0" fontId="97" fillId="33" borderId="349" xfId="45" applyFont="1" applyFill="1" applyBorder="1" applyAlignment="1" applyProtection="1">
      <alignment horizontal="center" wrapText="1"/>
      <protection locked="0"/>
    </xf>
    <xf numFmtId="0" fontId="97" fillId="33" borderId="455" xfId="45" applyFont="1" applyFill="1" applyBorder="1" applyAlignment="1" applyProtection="1">
      <alignment horizontal="center"/>
      <protection locked="0"/>
    </xf>
    <xf numFmtId="0" fontId="97" fillId="33" borderId="453" xfId="45" applyFont="1" applyFill="1" applyBorder="1" applyAlignment="1" applyProtection="1">
      <alignment horizontal="center"/>
      <protection locked="0"/>
    </xf>
    <xf numFmtId="0" fontId="97" fillId="33" borderId="452" xfId="45" applyFont="1" applyFill="1" applyBorder="1" applyAlignment="1" applyProtection="1">
      <alignment horizontal="center"/>
      <protection locked="0"/>
    </xf>
    <xf numFmtId="0" fontId="97" fillId="33" borderId="429" xfId="45" applyFont="1" applyFill="1" applyBorder="1" applyAlignment="1" applyProtection="1">
      <alignment horizontal="center" wrapText="1"/>
      <protection locked="0"/>
    </xf>
    <xf numFmtId="0" fontId="97" fillId="33" borderId="456" xfId="45" applyFont="1" applyFill="1" applyBorder="1" applyAlignment="1" applyProtection="1">
      <alignment horizontal="center" wrapText="1"/>
      <protection locked="0"/>
    </xf>
    <xf numFmtId="0" fontId="97" fillId="33" borderId="442" xfId="45" applyFont="1" applyFill="1" applyBorder="1" applyAlignment="1" applyProtection="1">
      <alignment horizontal="center"/>
      <protection locked="0"/>
    </xf>
    <xf numFmtId="0" fontId="97" fillId="33" borderId="457" xfId="45" applyFont="1" applyFill="1" applyBorder="1" applyAlignment="1" applyProtection="1">
      <alignment horizontal="center"/>
      <protection locked="0"/>
    </xf>
    <xf numFmtId="0" fontId="97" fillId="33" borderId="417" xfId="45" applyFont="1" applyFill="1" applyBorder="1" applyAlignment="1" applyProtection="1">
      <alignment horizontal="center"/>
      <protection locked="0"/>
    </xf>
    <xf numFmtId="0" fontId="97" fillId="33" borderId="349" xfId="45" applyFont="1" applyFill="1" applyBorder="1" applyAlignment="1" applyProtection="1">
      <alignment horizontal="center"/>
      <protection locked="0"/>
    </xf>
    <xf numFmtId="0" fontId="75" fillId="40" borderId="429" xfId="45" applyFill="1" applyBorder="1" applyAlignment="1">
      <alignment horizontal="left" wrapText="1"/>
    </xf>
    <xf numFmtId="0" fontId="75" fillId="33" borderId="429" xfId="45" applyFill="1" applyBorder="1" applyAlignment="1" applyProtection="1">
      <alignment horizontal="left" wrapText="1"/>
      <protection locked="0"/>
    </xf>
    <xf numFmtId="4" fontId="59" fillId="40" borderId="429" xfId="1" applyFill="1" applyBorder="1" applyProtection="1">
      <protection locked="0"/>
    </xf>
    <xf numFmtId="0" fontId="75" fillId="39" borderId="429" xfId="45" applyFill="1" applyBorder="1" applyAlignment="1">
      <alignment horizontal="left" wrapText="1"/>
    </xf>
    <xf numFmtId="4" fontId="59" fillId="39" borderId="429" xfId="1" applyFill="1" applyBorder="1" applyProtection="1">
      <protection locked="0"/>
    </xf>
    <xf numFmtId="4" fontId="59" fillId="62" borderId="429" xfId="1" applyFill="1" applyBorder="1" applyProtection="1">
      <protection locked="0"/>
    </xf>
    <xf numFmtId="0" fontId="75" fillId="63" borderId="429" xfId="45" applyFill="1" applyBorder="1"/>
    <xf numFmtId="4" fontId="59" fillId="63" borderId="429" xfId="1" applyFill="1" applyBorder="1" applyProtection="1">
      <protection locked="0"/>
    </xf>
    <xf numFmtId="0" fontId="75" fillId="67" borderId="429" xfId="45" applyFill="1" applyBorder="1"/>
    <xf numFmtId="4" fontId="59" fillId="67" borderId="429" xfId="1" applyFill="1" applyBorder="1" applyProtection="1">
      <protection locked="0"/>
    </xf>
    <xf numFmtId="0" fontId="75" fillId="69" borderId="429" xfId="45" applyFill="1" applyBorder="1"/>
    <xf numFmtId="4" fontId="59" fillId="69" borderId="429" xfId="1" applyFill="1" applyBorder="1" applyProtection="1">
      <protection locked="0"/>
    </xf>
    <xf numFmtId="0" fontId="75" fillId="73" borderId="429" xfId="45" applyFill="1" applyBorder="1"/>
    <xf numFmtId="4" fontId="59" fillId="73" borderId="429" xfId="1" applyFill="1" applyBorder="1" applyProtection="1">
      <protection locked="0"/>
    </xf>
    <xf numFmtId="0" fontId="97" fillId="7" borderId="429" xfId="45" applyFont="1" applyFill="1" applyBorder="1" applyAlignment="1">
      <alignment horizontal="left"/>
    </xf>
    <xf numFmtId="0" fontId="97" fillId="33" borderId="205" xfId="45" applyFont="1" applyFill="1" applyBorder="1" applyAlignment="1" applyProtection="1">
      <alignment horizontal="center"/>
      <protection locked="0"/>
    </xf>
    <xf numFmtId="0" fontId="97" fillId="33" borderId="456" xfId="45" applyFont="1" applyFill="1" applyBorder="1" applyAlignment="1" applyProtection="1">
      <alignment horizontal="center"/>
      <protection locked="0"/>
    </xf>
    <xf numFmtId="0" fontId="97" fillId="33" borderId="420" xfId="45" applyFont="1" applyFill="1" applyBorder="1" applyAlignment="1" applyProtection="1">
      <alignment horizontal="center"/>
      <protection locked="0"/>
    </xf>
    <xf numFmtId="0" fontId="97" fillId="45" borderId="420" xfId="45" applyFont="1" applyFill="1" applyBorder="1" applyAlignment="1">
      <alignment horizontal="center"/>
    </xf>
    <xf numFmtId="0" fontId="97" fillId="45" borderId="456" xfId="45" applyFont="1" applyFill="1" applyBorder="1" applyAlignment="1">
      <alignment horizontal="center"/>
    </xf>
    <xf numFmtId="0" fontId="97" fillId="33" borderId="206" xfId="45" applyFont="1" applyFill="1" applyBorder="1" applyAlignment="1" applyProtection="1">
      <alignment horizontal="center"/>
      <protection locked="0"/>
    </xf>
    <xf numFmtId="0" fontId="97" fillId="33" borderId="421" xfId="45" applyFont="1" applyFill="1" applyBorder="1" applyAlignment="1" applyProtection="1">
      <alignment horizontal="center"/>
      <protection locked="0"/>
    </xf>
    <xf numFmtId="0" fontId="97" fillId="45" borderId="206" xfId="45" applyFont="1" applyFill="1" applyBorder="1" applyAlignment="1">
      <alignment horizontal="center"/>
    </xf>
    <xf numFmtId="0" fontId="75" fillId="39" borderId="429" xfId="45" applyFill="1" applyBorder="1"/>
    <xf numFmtId="0" fontId="75" fillId="62" borderId="429" xfId="45" applyFill="1" applyBorder="1" applyAlignment="1">
      <alignment horizontal="left" wrapText="1"/>
    </xf>
    <xf numFmtId="0" fontId="75" fillId="63" borderId="429" xfId="45" applyFill="1" applyBorder="1" applyAlignment="1">
      <alignment horizontal="left" wrapText="1"/>
    </xf>
    <xf numFmtId="0" fontId="75" fillId="67" borderId="429" xfId="45" applyFill="1" applyBorder="1" applyAlignment="1">
      <alignment horizontal="left" wrapText="1"/>
    </xf>
    <xf numFmtId="0" fontId="75" fillId="69" borderId="429" xfId="45" applyFill="1" applyBorder="1" applyAlignment="1">
      <alignment horizontal="left" wrapText="1"/>
    </xf>
    <xf numFmtId="0" fontId="75" fillId="73" borderId="429" xfId="45" applyFill="1" applyBorder="1" applyAlignment="1">
      <alignment horizontal="left" wrapText="1"/>
    </xf>
    <xf numFmtId="0" fontId="97" fillId="43" borderId="455" xfId="45" applyFont="1" applyFill="1" applyBorder="1" applyAlignment="1">
      <alignment horizontal="center"/>
    </xf>
    <xf numFmtId="0" fontId="97" fillId="43" borderId="453" xfId="45" applyFont="1" applyFill="1" applyBorder="1" applyAlignment="1">
      <alignment horizontal="center"/>
    </xf>
    <xf numFmtId="0" fontId="97" fillId="43" borderId="452" xfId="45" applyFont="1" applyFill="1" applyBorder="1" applyAlignment="1">
      <alignment horizontal="center"/>
    </xf>
    <xf numFmtId="0" fontId="97" fillId="43" borderId="417" xfId="45" applyFont="1" applyFill="1" applyBorder="1" applyAlignment="1">
      <alignment horizontal="center"/>
    </xf>
    <xf numFmtId="0" fontId="174" fillId="49" borderId="449" xfId="0" applyFont="1" applyFill="1" applyBorder="1" applyAlignment="1" applyProtection="1">
      <alignment horizontal="center"/>
      <protection locked="0"/>
    </xf>
    <xf numFmtId="0" fontId="97" fillId="49" borderId="449" xfId="0" applyFont="1" applyFill="1" applyBorder="1" applyAlignment="1" applyProtection="1">
      <alignment horizontal="center"/>
      <protection locked="0"/>
    </xf>
    <xf numFmtId="0" fontId="97" fillId="43" borderId="349" xfId="45" applyFont="1" applyFill="1" applyBorder="1" applyAlignment="1">
      <alignment horizontal="center"/>
    </xf>
    <xf numFmtId="0" fontId="97" fillId="49" borderId="446" xfId="0" applyFont="1" applyFill="1" applyBorder="1" applyAlignment="1" applyProtection="1">
      <alignment horizontal="center"/>
      <protection locked="0"/>
    </xf>
    <xf numFmtId="0" fontId="97" fillId="49" borderId="420" xfId="0" applyFont="1" applyFill="1" applyBorder="1" applyAlignment="1" applyProtection="1">
      <alignment horizontal="center"/>
      <protection locked="0"/>
    </xf>
    <xf numFmtId="0" fontId="97" fillId="49" borderId="206" xfId="0" applyFont="1" applyFill="1" applyBorder="1" applyAlignment="1" applyProtection="1">
      <alignment horizontal="center"/>
      <protection locked="0"/>
    </xf>
    <xf numFmtId="0" fontId="174" fillId="49" borderId="451" xfId="0" applyFont="1" applyFill="1" applyBorder="1" applyAlignment="1" applyProtection="1">
      <alignment horizontal="center"/>
      <protection locked="0"/>
    </xf>
    <xf numFmtId="0" fontId="97" fillId="49" borderId="451" xfId="0" applyFont="1" applyFill="1" applyBorder="1" applyAlignment="1" applyProtection="1">
      <alignment horizontal="center"/>
      <protection locked="0"/>
    </xf>
    <xf numFmtId="0" fontId="97" fillId="49" borderId="455" xfId="0" applyFont="1" applyFill="1" applyBorder="1" applyAlignment="1" applyProtection="1">
      <alignment horizontal="center"/>
      <protection locked="0"/>
    </xf>
    <xf numFmtId="0" fontId="97" fillId="49" borderId="452" xfId="0" applyFont="1" applyFill="1" applyBorder="1" applyAlignment="1" applyProtection="1">
      <alignment horizontal="center"/>
      <protection locked="0"/>
    </xf>
    <xf numFmtId="0" fontId="97" fillId="33" borderId="451" xfId="45" applyFont="1" applyFill="1" applyBorder="1" applyAlignment="1" applyProtection="1">
      <alignment horizontal="center"/>
      <protection locked="0"/>
    </xf>
    <xf numFmtId="0" fontId="97" fillId="49" borderId="205" xfId="0" applyFont="1" applyFill="1" applyBorder="1" applyAlignment="1" applyProtection="1">
      <alignment horizontal="center"/>
      <protection locked="0"/>
    </xf>
    <xf numFmtId="0" fontId="97" fillId="49" borderId="432" xfId="0" applyFont="1" applyFill="1" applyBorder="1" applyAlignment="1" applyProtection="1">
      <alignment horizontal="center"/>
      <protection locked="0"/>
    </xf>
    <xf numFmtId="0" fontId="97" fillId="49" borderId="429" xfId="0" applyFont="1" applyFill="1" applyBorder="1" applyAlignment="1" applyProtection="1">
      <alignment horizontal="center"/>
      <protection locked="0"/>
    </xf>
    <xf numFmtId="0" fontId="97" fillId="33" borderId="432" xfId="45" applyFont="1" applyFill="1" applyBorder="1" applyAlignment="1" applyProtection="1">
      <alignment horizontal="center"/>
      <protection locked="0"/>
    </xf>
    <xf numFmtId="0" fontId="97" fillId="33" borderId="430" xfId="45" applyFont="1" applyFill="1" applyBorder="1" applyAlignment="1" applyProtection="1">
      <alignment horizontal="center"/>
      <protection locked="0"/>
    </xf>
    <xf numFmtId="0" fontId="174" fillId="49" borderId="206" xfId="0" applyFont="1" applyFill="1" applyBorder="1" applyAlignment="1" applyProtection="1">
      <alignment horizontal="center"/>
      <protection locked="0"/>
    </xf>
    <xf numFmtId="0" fontId="97" fillId="33" borderId="458" xfId="45" applyFont="1" applyFill="1" applyBorder="1" applyAlignment="1" applyProtection="1">
      <alignment horizontal="center"/>
      <protection locked="0"/>
    </xf>
    <xf numFmtId="0" fontId="97" fillId="49" borderId="456" xfId="0" applyFont="1" applyFill="1" applyBorder="1" applyAlignment="1" applyProtection="1">
      <alignment horizontal="center"/>
      <protection locked="0"/>
    </xf>
    <xf numFmtId="0" fontId="97" fillId="49" borderId="428" xfId="0" applyFont="1" applyFill="1" applyBorder="1" applyAlignment="1" applyProtection="1">
      <alignment horizontal="center"/>
      <protection locked="0"/>
    </xf>
    <xf numFmtId="0" fontId="97" fillId="33" borderId="459" xfId="45" applyFont="1" applyFill="1" applyBorder="1" applyAlignment="1" applyProtection="1">
      <alignment horizontal="center"/>
      <protection locked="0"/>
    </xf>
    <xf numFmtId="0" fontId="97" fillId="33" borderId="460" xfId="45" applyFont="1" applyFill="1" applyBorder="1" applyAlignment="1" applyProtection="1">
      <alignment horizontal="center"/>
      <protection locked="0"/>
    </xf>
    <xf numFmtId="0" fontId="97" fillId="33" borderId="461" xfId="45" applyFont="1" applyFill="1" applyBorder="1" applyAlignment="1" applyProtection="1">
      <alignment horizontal="center"/>
      <protection locked="0"/>
    </xf>
    <xf numFmtId="0" fontId="174" fillId="49" borderId="462" xfId="0" applyFont="1" applyFill="1" applyBorder="1" applyAlignment="1" applyProtection="1">
      <alignment horizontal="center"/>
      <protection locked="0"/>
    </xf>
    <xf numFmtId="0" fontId="97" fillId="49" borderId="462" xfId="0" applyFont="1" applyFill="1" applyBorder="1" applyAlignment="1" applyProtection="1">
      <alignment horizontal="center"/>
      <protection locked="0"/>
    </xf>
    <xf numFmtId="0" fontId="97" fillId="33" borderId="463" xfId="45" applyFont="1" applyFill="1" applyBorder="1" applyAlignment="1" applyProtection="1">
      <alignment horizontal="center"/>
      <protection locked="0"/>
    </xf>
    <xf numFmtId="0" fontId="97" fillId="49" borderId="460" xfId="0" applyFont="1" applyFill="1" applyBorder="1" applyAlignment="1" applyProtection="1">
      <alignment horizontal="center"/>
      <protection locked="0"/>
    </xf>
    <xf numFmtId="0" fontId="97" fillId="49" borderId="438" xfId="0" applyFont="1" applyFill="1" applyBorder="1" applyAlignment="1" applyProtection="1">
      <alignment horizontal="center"/>
      <protection locked="0"/>
    </xf>
    <xf numFmtId="0" fontId="97" fillId="49" borderId="443" xfId="0" applyFont="1" applyFill="1" applyBorder="1" applyAlignment="1" applyProtection="1">
      <alignment horizontal="center"/>
      <protection locked="0"/>
    </xf>
    <xf numFmtId="0" fontId="97" fillId="33" borderId="438" xfId="45" applyFont="1" applyFill="1" applyBorder="1" applyAlignment="1" applyProtection="1">
      <alignment horizontal="center"/>
      <protection locked="0"/>
    </xf>
    <xf numFmtId="0" fontId="97" fillId="33" borderId="464" xfId="45" applyFont="1" applyFill="1" applyBorder="1" applyAlignment="1" applyProtection="1">
      <alignment horizontal="center"/>
      <protection locked="0"/>
    </xf>
    <xf numFmtId="0" fontId="97" fillId="7" borderId="440" xfId="45" applyFont="1" applyFill="1" applyBorder="1" applyAlignment="1">
      <alignment horizontal="center"/>
    </xf>
    <xf numFmtId="0" fontId="97" fillId="7" borderId="414" xfId="45" applyFont="1" applyFill="1" applyBorder="1" applyAlignment="1">
      <alignment horizontal="center"/>
    </xf>
    <xf numFmtId="0" fontId="97" fillId="7" borderId="415" xfId="45" applyFont="1" applyFill="1" applyBorder="1" applyAlignment="1">
      <alignment horizontal="center"/>
    </xf>
    <xf numFmtId="0" fontId="97" fillId="33" borderId="446" xfId="45" applyFont="1" applyFill="1" applyBorder="1" applyAlignment="1" applyProtection="1">
      <alignment horizontal="center"/>
      <protection locked="0"/>
    </xf>
    <xf numFmtId="0" fontId="97" fillId="33" borderId="447" xfId="45" applyFont="1" applyFill="1" applyBorder="1" applyAlignment="1" applyProtection="1">
      <alignment horizontal="center"/>
      <protection locked="0"/>
    </xf>
    <xf numFmtId="0" fontId="97" fillId="33" borderId="445" xfId="45" applyFont="1" applyFill="1" applyBorder="1" applyAlignment="1" applyProtection="1">
      <alignment horizontal="center"/>
      <protection locked="0"/>
    </xf>
    <xf numFmtId="0" fontId="97" fillId="33" borderId="441" xfId="45" applyFont="1" applyFill="1" applyBorder="1" applyAlignment="1" applyProtection="1">
      <alignment horizontal="center"/>
      <protection locked="0"/>
    </xf>
    <xf numFmtId="0" fontId="97" fillId="33" borderId="450" xfId="45" applyFont="1" applyFill="1" applyBorder="1" applyAlignment="1" applyProtection="1">
      <alignment horizontal="center"/>
      <protection locked="0"/>
    </xf>
    <xf numFmtId="4" fontId="97" fillId="33" borderId="467" xfId="46" applyNumberFormat="1" applyFont="1" applyFill="1" applyBorder="1" applyAlignment="1" applyProtection="1">
      <alignment horizontal="center"/>
      <protection locked="0"/>
    </xf>
    <xf numFmtId="4" fontId="97" fillId="33" borderId="469" xfId="46" applyNumberFormat="1" applyFont="1" applyFill="1" applyBorder="1" applyAlignment="1" applyProtection="1">
      <alignment horizontal="center"/>
      <protection locked="0"/>
    </xf>
    <xf numFmtId="4" fontId="97" fillId="33" borderId="470" xfId="46" applyNumberFormat="1" applyFont="1" applyFill="1" applyBorder="1" applyAlignment="1" applyProtection="1">
      <alignment horizontal="center"/>
      <protection locked="0"/>
    </xf>
    <xf numFmtId="3" fontId="97" fillId="43" borderId="466" xfId="46" applyNumberFormat="1" applyFont="1" applyFill="1" applyBorder="1" applyAlignment="1" applyProtection="1">
      <alignment horizontal="right"/>
    </xf>
    <xf numFmtId="3" fontId="97" fillId="43" borderId="469" xfId="46" applyNumberFormat="1" applyFont="1" applyFill="1" applyBorder="1" applyAlignment="1" applyProtection="1">
      <alignment horizontal="right"/>
    </xf>
    <xf numFmtId="4" fontId="97" fillId="33" borderId="465" xfId="46" applyNumberFormat="1" applyFont="1" applyFill="1" applyBorder="1" applyAlignment="1" applyProtection="1">
      <alignment horizontal="center"/>
      <protection locked="0"/>
    </xf>
    <xf numFmtId="3" fontId="97" fillId="43" borderId="466" xfId="46" applyNumberFormat="1" applyFont="1" applyFill="1" applyBorder="1" applyAlignment="1" applyProtection="1"/>
    <xf numFmtId="3" fontId="97" fillId="43" borderId="469" xfId="46" applyNumberFormat="1" applyFont="1" applyFill="1" applyBorder="1" applyAlignment="1" applyProtection="1"/>
    <xf numFmtId="3" fontId="97" fillId="43" borderId="470" xfId="46" applyNumberFormat="1" applyFont="1" applyFill="1" applyBorder="1" applyAlignment="1" applyProtection="1"/>
    <xf numFmtId="176" fontId="97" fillId="7" borderId="466" xfId="45" applyNumberFormat="1" applyFont="1" applyFill="1" applyBorder="1" applyAlignment="1">
      <alignment horizontal="center"/>
    </xf>
    <xf numFmtId="176" fontId="97" fillId="7" borderId="469" xfId="45" applyNumberFormat="1" applyFont="1" applyFill="1" applyBorder="1" applyAlignment="1">
      <alignment horizontal="center"/>
    </xf>
    <xf numFmtId="176" fontId="97" fillId="7" borderId="470" xfId="45" applyNumberFormat="1" applyFont="1" applyFill="1" applyBorder="1" applyAlignment="1">
      <alignment horizontal="center"/>
    </xf>
    <xf numFmtId="176" fontId="97" fillId="7" borderId="467" xfId="45" applyNumberFormat="1" applyFont="1" applyFill="1" applyBorder="1" applyAlignment="1">
      <alignment horizontal="center"/>
    </xf>
    <xf numFmtId="176" fontId="97" fillId="7" borderId="465" xfId="45" applyNumberFormat="1" applyFont="1" applyFill="1" applyBorder="1" applyAlignment="1">
      <alignment horizontal="center"/>
    </xf>
    <xf numFmtId="0" fontId="75" fillId="63" borderId="467" xfId="45" applyFill="1" applyBorder="1" applyAlignment="1">
      <alignment wrapText="1"/>
    </xf>
    <xf numFmtId="4" fontId="59" fillId="63" borderId="467" xfId="1" applyFill="1" applyBorder="1"/>
    <xf numFmtId="0" fontId="75" fillId="67" borderId="467" xfId="45" applyFill="1" applyBorder="1" applyAlignment="1">
      <alignment wrapText="1"/>
    </xf>
    <xf numFmtId="4" fontId="59" fillId="67" borderId="467" xfId="1" applyFill="1" applyBorder="1"/>
    <xf numFmtId="0" fontId="75" fillId="69" borderId="467" xfId="45" applyFill="1" applyBorder="1" applyAlignment="1">
      <alignment wrapText="1"/>
    </xf>
    <xf numFmtId="4" fontId="59" fillId="69" borderId="467" xfId="1" applyFill="1" applyBorder="1"/>
    <xf numFmtId="0" fontId="97" fillId="7" borderId="466" xfId="45" applyFont="1" applyFill="1" applyBorder="1" applyAlignment="1">
      <alignment horizontal="center"/>
    </xf>
    <xf numFmtId="0" fontId="97" fillId="7" borderId="469" xfId="45" applyFont="1" applyFill="1" applyBorder="1" applyAlignment="1">
      <alignment horizontal="center"/>
    </xf>
    <xf numFmtId="0" fontId="97" fillId="7" borderId="470" xfId="45" applyFont="1" applyFill="1" applyBorder="1" applyAlignment="1">
      <alignment horizontal="center"/>
    </xf>
    <xf numFmtId="0" fontId="97" fillId="7" borderId="467" xfId="45" applyFont="1" applyFill="1" applyBorder="1" applyAlignment="1">
      <alignment horizontal="center"/>
    </xf>
    <xf numFmtId="0" fontId="97" fillId="7" borderId="465" xfId="45" applyFont="1" applyFill="1" applyBorder="1" applyAlignment="1">
      <alignment horizontal="center"/>
    </xf>
    <xf numFmtId="0" fontId="75" fillId="62" borderId="467" xfId="45" applyFill="1" applyBorder="1" applyAlignment="1">
      <alignment wrapText="1"/>
    </xf>
    <xf numFmtId="4" fontId="59" fillId="62" borderId="467" xfId="1" applyFill="1" applyBorder="1"/>
    <xf numFmtId="0" fontId="75" fillId="73" borderId="467" xfId="45" applyFill="1" applyBorder="1" applyAlignment="1">
      <alignment wrapText="1"/>
    </xf>
    <xf numFmtId="4" fontId="59" fillId="73" borderId="467" xfId="1" applyFill="1" applyBorder="1"/>
    <xf numFmtId="170" fontId="97" fillId="33" borderId="469" xfId="45" applyNumberFormat="1" applyFont="1" applyFill="1" applyBorder="1" applyAlignment="1" applyProtection="1">
      <alignment horizontal="center"/>
      <protection locked="0"/>
    </xf>
    <xf numFmtId="170" fontId="97" fillId="33" borderId="470" xfId="45" applyNumberFormat="1" applyFont="1" applyFill="1" applyBorder="1" applyAlignment="1" applyProtection="1">
      <alignment horizontal="center"/>
      <protection locked="0"/>
    </xf>
    <xf numFmtId="170" fontId="97" fillId="33" borderId="467" xfId="45" applyNumberFormat="1" applyFont="1" applyFill="1" applyBorder="1" applyAlignment="1" applyProtection="1">
      <alignment horizontal="center"/>
      <protection locked="0"/>
    </xf>
    <xf numFmtId="170" fontId="97" fillId="43" borderId="466" xfId="45" applyNumberFormat="1" applyFont="1" applyFill="1" applyBorder="1" applyAlignment="1">
      <alignment horizontal="center"/>
    </xf>
    <xf numFmtId="170" fontId="97" fillId="43" borderId="469" xfId="45" applyNumberFormat="1" applyFont="1" applyFill="1" applyBorder="1" applyAlignment="1">
      <alignment horizontal="center"/>
    </xf>
    <xf numFmtId="170" fontId="97" fillId="33" borderId="465" xfId="45" applyNumberFormat="1" applyFont="1" applyFill="1" applyBorder="1" applyAlignment="1" applyProtection="1">
      <alignment horizontal="center"/>
      <protection locked="0"/>
    </xf>
    <xf numFmtId="170" fontId="97" fillId="43" borderId="470" xfId="45" applyNumberFormat="1" applyFont="1" applyFill="1" applyBorder="1" applyAlignment="1">
      <alignment horizontal="center"/>
    </xf>
    <xf numFmtId="170" fontId="97" fillId="60" borderId="469" xfId="45" applyNumberFormat="1" applyFont="1" applyFill="1" applyBorder="1" applyAlignment="1" applyProtection="1">
      <alignment horizontal="center"/>
      <protection locked="0"/>
    </xf>
    <xf numFmtId="170" fontId="97" fillId="60" borderId="470" xfId="45" applyNumberFormat="1" applyFont="1" applyFill="1" applyBorder="1" applyAlignment="1" applyProtection="1">
      <alignment horizontal="center"/>
      <protection locked="0"/>
    </xf>
    <xf numFmtId="170" fontId="97" fillId="60" borderId="467" xfId="45" applyNumberFormat="1" applyFont="1" applyFill="1" applyBorder="1" applyAlignment="1" applyProtection="1">
      <alignment horizontal="center"/>
      <protection locked="0"/>
    </xf>
    <xf numFmtId="170" fontId="97" fillId="60" borderId="465" xfId="45" applyNumberFormat="1" applyFont="1" applyFill="1" applyBorder="1" applyAlignment="1" applyProtection="1">
      <alignment horizontal="center"/>
      <protection locked="0"/>
    </xf>
    <xf numFmtId="3" fontId="97" fillId="7" borderId="466" xfId="46" applyNumberFormat="1" applyFont="1" applyFill="1" applyBorder="1" applyAlignment="1">
      <alignment horizontal="right"/>
    </xf>
    <xf numFmtId="3" fontId="97" fillId="7" borderId="469" xfId="46" applyNumberFormat="1" applyFont="1" applyFill="1" applyBorder="1" applyAlignment="1">
      <alignment horizontal="right"/>
    </xf>
    <xf numFmtId="3" fontId="97" fillId="7" borderId="470" xfId="46" applyNumberFormat="1" applyFont="1" applyFill="1" applyBorder="1" applyAlignment="1">
      <alignment horizontal="right"/>
    </xf>
    <xf numFmtId="3" fontId="97" fillId="7" borderId="467" xfId="46" applyNumberFormat="1" applyFont="1" applyFill="1" applyBorder="1" applyAlignment="1">
      <alignment horizontal="right"/>
    </xf>
    <xf numFmtId="3" fontId="97" fillId="7" borderId="465" xfId="46" applyNumberFormat="1" applyFont="1" applyFill="1" applyBorder="1" applyAlignment="1">
      <alignment horizontal="right"/>
    </xf>
    <xf numFmtId="3" fontId="97" fillId="43" borderId="470" xfId="46" applyNumberFormat="1" applyFont="1" applyFill="1" applyBorder="1" applyAlignment="1" applyProtection="1">
      <alignment horizontal="right"/>
    </xf>
    <xf numFmtId="3" fontId="97" fillId="59" borderId="469" xfId="46" applyNumberFormat="1" applyFont="1" applyFill="1" applyBorder="1" applyAlignment="1">
      <alignment horizontal="right"/>
    </xf>
    <xf numFmtId="3" fontId="97" fillId="43" borderId="467" xfId="46" applyNumberFormat="1" applyFont="1" applyFill="1" applyBorder="1" applyAlignment="1" applyProtection="1">
      <alignment horizontal="right"/>
    </xf>
    <xf numFmtId="3" fontId="97" fillId="43" borderId="465" xfId="46" applyNumberFormat="1" applyFont="1" applyFill="1" applyBorder="1" applyAlignment="1" applyProtection="1">
      <alignment horizontal="right"/>
    </xf>
    <xf numFmtId="3" fontId="97" fillId="71" borderId="470" xfId="46" applyNumberFormat="1" applyFont="1" applyFill="1" applyBorder="1" applyAlignment="1" applyProtection="1">
      <alignment horizontal="right"/>
    </xf>
    <xf numFmtId="3" fontId="97" fillId="71" borderId="467" xfId="46" applyNumberFormat="1" applyFont="1" applyFill="1" applyBorder="1" applyAlignment="1" applyProtection="1">
      <alignment horizontal="right"/>
    </xf>
    <xf numFmtId="3" fontId="97" fillId="71" borderId="469" xfId="46" applyNumberFormat="1" applyFont="1" applyFill="1" applyBorder="1" applyAlignment="1" applyProtection="1">
      <alignment horizontal="right"/>
    </xf>
    <xf numFmtId="3" fontId="97" fillId="59" borderId="467" xfId="46" applyNumberFormat="1" applyFont="1" applyFill="1" applyBorder="1" applyAlignment="1">
      <alignment horizontal="right"/>
    </xf>
    <xf numFmtId="3" fontId="97" fillId="33" borderId="466" xfId="46" applyNumberFormat="1" applyFont="1" applyFill="1" applyBorder="1" applyAlignment="1" applyProtection="1">
      <protection locked="0"/>
    </xf>
    <xf numFmtId="3" fontId="97" fillId="33" borderId="469" xfId="46" applyNumberFormat="1" applyFont="1" applyFill="1" applyBorder="1" applyAlignment="1" applyProtection="1">
      <protection locked="0"/>
    </xf>
    <xf numFmtId="3" fontId="97" fillId="33" borderId="470" xfId="46" applyNumberFormat="1" applyFont="1" applyFill="1" applyBorder="1" applyAlignment="1" applyProtection="1">
      <protection locked="0"/>
    </xf>
    <xf numFmtId="3" fontId="97" fillId="33" borderId="467" xfId="46" applyNumberFormat="1" applyFont="1" applyFill="1" applyBorder="1" applyAlignment="1" applyProtection="1">
      <protection locked="0"/>
    </xf>
    <xf numFmtId="3" fontId="97" fillId="33" borderId="465" xfId="46" applyNumberFormat="1" applyFont="1" applyFill="1" applyBorder="1" applyAlignment="1" applyProtection="1">
      <protection locked="0"/>
    </xf>
    <xf numFmtId="0" fontId="75" fillId="40" borderId="467" xfId="45" applyFill="1" applyBorder="1" applyAlignment="1">
      <alignment wrapText="1"/>
    </xf>
    <xf numFmtId="4" fontId="59" fillId="40" borderId="467" xfId="1" applyFill="1" applyBorder="1"/>
    <xf numFmtId="0" fontId="75" fillId="39" borderId="467" xfId="45" applyFill="1" applyBorder="1" applyAlignment="1">
      <alignment wrapText="1"/>
    </xf>
    <xf numFmtId="4" fontId="59" fillId="39" borderId="467" xfId="1" applyFill="1" applyBorder="1"/>
    <xf numFmtId="4" fontId="97" fillId="33" borderId="467" xfId="46" applyNumberFormat="1" applyFont="1" applyFill="1" applyBorder="1" applyAlignment="1" applyProtection="1">
      <protection locked="0"/>
    </xf>
    <xf numFmtId="0" fontId="75" fillId="40" borderId="467" xfId="45" applyFill="1" applyBorder="1" applyProtection="1">
      <protection locked="0"/>
    </xf>
    <xf numFmtId="3" fontId="97" fillId="49" borderId="470" xfId="0" applyNumberFormat="1" applyFont="1" applyFill="1" applyBorder="1" applyProtection="1">
      <protection locked="0"/>
    </xf>
    <xf numFmtId="3" fontId="97" fillId="49" borderId="467" xfId="0" applyNumberFormat="1" applyFont="1" applyFill="1" applyBorder="1" applyProtection="1">
      <protection locked="0"/>
    </xf>
    <xf numFmtId="3" fontId="97" fillId="49" borderId="469" xfId="0" applyNumberFormat="1" applyFont="1" applyFill="1" applyBorder="1" applyProtection="1">
      <protection locked="0"/>
    </xf>
    <xf numFmtId="3" fontId="97" fillId="7" borderId="467" xfId="46" applyNumberFormat="1" applyFont="1" applyFill="1" applyBorder="1" applyAlignment="1"/>
    <xf numFmtId="3" fontId="97" fillId="7" borderId="470" xfId="46" applyNumberFormat="1" applyFont="1" applyFill="1" applyBorder="1" applyAlignment="1"/>
    <xf numFmtId="3" fontId="97" fillId="7" borderId="469" xfId="46" applyNumberFormat="1" applyFont="1" applyFill="1" applyBorder="1" applyAlignment="1"/>
    <xf numFmtId="3" fontId="97" fillId="7" borderId="466" xfId="46" applyNumberFormat="1" applyFont="1" applyFill="1" applyBorder="1" applyAlignment="1"/>
    <xf numFmtId="3" fontId="97" fillId="7" borderId="465" xfId="46" applyNumberFormat="1" applyFont="1" applyFill="1" applyBorder="1" applyAlignment="1"/>
    <xf numFmtId="4" fontId="77" fillId="0" borderId="369" xfId="45" applyNumberFormat="1" applyFont="1" applyBorder="1" applyAlignment="1">
      <alignment horizontal="left"/>
    </xf>
    <xf numFmtId="3" fontId="97" fillId="44" borderId="466" xfId="46" applyNumberFormat="1" applyFont="1" applyFill="1" applyBorder="1" applyAlignment="1" applyProtection="1">
      <protection locked="0"/>
    </xf>
    <xf numFmtId="3" fontId="97" fillId="44" borderId="469" xfId="46" applyNumberFormat="1" applyFont="1" applyFill="1" applyBorder="1" applyAlignment="1" applyProtection="1">
      <protection locked="0"/>
    </xf>
    <xf numFmtId="3" fontId="97" fillId="44" borderId="470" xfId="46" applyNumberFormat="1" applyFont="1" applyFill="1" applyBorder="1" applyAlignment="1" applyProtection="1">
      <protection locked="0"/>
    </xf>
    <xf numFmtId="4" fontId="97" fillId="33" borderId="469" xfId="46" applyNumberFormat="1" applyFont="1" applyFill="1" applyBorder="1" applyAlignment="1" applyProtection="1">
      <protection locked="0"/>
    </xf>
    <xf numFmtId="4" fontId="97" fillId="33" borderId="470" xfId="46" applyNumberFormat="1" applyFont="1" applyFill="1" applyBorder="1" applyAlignment="1" applyProtection="1">
      <protection locked="0"/>
    </xf>
    <xf numFmtId="4" fontId="97" fillId="44" borderId="466" xfId="46" applyNumberFormat="1" applyFont="1" applyFill="1" applyBorder="1" applyAlignment="1" applyProtection="1">
      <protection locked="0"/>
    </xf>
    <xf numFmtId="4" fontId="97" fillId="44" borderId="469" xfId="46" applyNumberFormat="1" applyFont="1" applyFill="1" applyBorder="1" applyAlignment="1" applyProtection="1">
      <protection locked="0"/>
    </xf>
    <xf numFmtId="4" fontId="97" fillId="33" borderId="465" xfId="46" applyNumberFormat="1" applyFont="1" applyFill="1" applyBorder="1" applyAlignment="1" applyProtection="1">
      <protection locked="0"/>
    </xf>
    <xf numFmtId="4" fontId="97" fillId="44" borderId="470" xfId="46" applyNumberFormat="1" applyFont="1" applyFill="1" applyBorder="1" applyAlignment="1" applyProtection="1">
      <protection locked="0"/>
    </xf>
    <xf numFmtId="3" fontId="97" fillId="7" borderId="466" xfId="46" applyNumberFormat="1" applyFont="1" applyFill="1" applyBorder="1" applyAlignment="1" applyProtection="1"/>
    <xf numFmtId="3" fontId="97" fillId="7" borderId="470" xfId="46" applyNumberFormat="1" applyFont="1" applyFill="1" applyBorder="1" applyAlignment="1" applyProtection="1"/>
    <xf numFmtId="3" fontId="97" fillId="7" borderId="467" xfId="46" applyNumberFormat="1" applyFont="1" applyFill="1" applyBorder="1" applyAlignment="1" applyProtection="1"/>
    <xf numFmtId="3" fontId="97" fillId="7" borderId="469" xfId="46" applyNumberFormat="1" applyFont="1" applyFill="1" applyBorder="1" applyAlignment="1" applyProtection="1"/>
    <xf numFmtId="3" fontId="97" fillId="44" borderId="466" xfId="46" applyNumberFormat="1" applyFont="1" applyFill="1" applyBorder="1" applyAlignment="1" applyProtection="1"/>
    <xf numFmtId="3" fontId="97" fillId="44" borderId="469" xfId="46" applyNumberFormat="1" applyFont="1" applyFill="1" applyBorder="1" applyAlignment="1" applyProtection="1"/>
    <xf numFmtId="3" fontId="97" fillId="7" borderId="465" xfId="46" applyNumberFormat="1" applyFont="1" applyFill="1" applyBorder="1" applyAlignment="1" applyProtection="1"/>
    <xf numFmtId="3" fontId="97" fillId="44" borderId="470" xfId="46" applyNumberFormat="1" applyFont="1" applyFill="1" applyBorder="1" applyAlignment="1" applyProtection="1"/>
    <xf numFmtId="2" fontId="97" fillId="33" borderId="469" xfId="46" applyNumberFormat="1" applyFont="1" applyFill="1" applyBorder="1" applyAlignment="1" applyProtection="1">
      <protection locked="0"/>
    </xf>
    <xf numFmtId="2" fontId="97" fillId="33" borderId="470" xfId="46" applyNumberFormat="1" applyFont="1" applyFill="1" applyBorder="1" applyAlignment="1" applyProtection="1">
      <protection locked="0"/>
    </xf>
    <xf numFmtId="2" fontId="97" fillId="33" borderId="467" xfId="46" applyNumberFormat="1" applyFont="1" applyFill="1" applyBorder="1" applyAlignment="1" applyProtection="1">
      <protection locked="0"/>
    </xf>
    <xf numFmtId="2" fontId="97" fillId="44" borderId="466" xfId="46" applyNumberFormat="1" applyFont="1" applyFill="1" applyBorder="1" applyAlignment="1" applyProtection="1"/>
    <xf numFmtId="2" fontId="97" fillId="44" borderId="469" xfId="46" applyNumberFormat="1" applyFont="1" applyFill="1" applyBorder="1" applyAlignment="1" applyProtection="1"/>
    <xf numFmtId="2" fontId="97" fillId="33" borderId="465" xfId="46" applyNumberFormat="1" applyFont="1" applyFill="1" applyBorder="1" applyAlignment="1" applyProtection="1">
      <protection locked="0"/>
    </xf>
    <xf numFmtId="2" fontId="97" fillId="44" borderId="470" xfId="46" applyNumberFormat="1" applyFont="1" applyFill="1" applyBorder="1" applyAlignment="1" applyProtection="1"/>
    <xf numFmtId="3" fontId="97" fillId="7" borderId="454" xfId="46" applyNumberFormat="1" applyFont="1" applyFill="1" applyBorder="1" applyAlignment="1" applyProtection="1"/>
    <xf numFmtId="3" fontId="97" fillId="7" borderId="472" xfId="46" applyNumberFormat="1" applyFont="1" applyFill="1" applyBorder="1" applyAlignment="1" applyProtection="1"/>
    <xf numFmtId="3" fontId="97" fillId="7" borderId="473" xfId="46" applyNumberFormat="1" applyFont="1" applyFill="1" applyBorder="1" applyAlignment="1" applyProtection="1"/>
    <xf numFmtId="3" fontId="97" fillId="44" borderId="424" xfId="46" applyNumberFormat="1" applyFont="1" applyFill="1" applyBorder="1" applyAlignment="1" applyProtection="1"/>
    <xf numFmtId="3" fontId="97" fillId="44" borderId="454" xfId="46" applyNumberFormat="1" applyFont="1" applyFill="1" applyBorder="1" applyAlignment="1" applyProtection="1"/>
    <xf numFmtId="3" fontId="97" fillId="7" borderId="422" xfId="46" applyNumberFormat="1" applyFont="1" applyFill="1" applyBorder="1" applyAlignment="1" applyProtection="1"/>
    <xf numFmtId="3" fontId="97" fillId="44" borderId="472" xfId="46" applyNumberFormat="1" applyFont="1" applyFill="1" applyBorder="1" applyAlignment="1" applyProtection="1"/>
    <xf numFmtId="3" fontId="163" fillId="7" borderId="476" xfId="0" applyNumberFormat="1" applyFont="1" applyFill="1" applyBorder="1" applyAlignment="1">
      <alignment horizontal="center"/>
    </xf>
    <xf numFmtId="3" fontId="163" fillId="7" borderId="475" xfId="0" applyNumberFormat="1" applyFont="1" applyFill="1" applyBorder="1" applyAlignment="1">
      <alignment horizontal="center"/>
    </xf>
    <xf numFmtId="3" fontId="163" fillId="7" borderId="477" xfId="0" applyNumberFormat="1" applyFont="1" applyFill="1" applyBorder="1" applyAlignment="1">
      <alignment horizontal="center"/>
    </xf>
    <xf numFmtId="0" fontId="152" fillId="10" borderId="478" xfId="0" applyFont="1" applyFill="1" applyBorder="1"/>
    <xf numFmtId="3" fontId="152" fillId="10" borderId="479" xfId="0" applyNumberFormat="1" applyFont="1" applyFill="1" applyBorder="1"/>
    <xf numFmtId="3" fontId="152" fillId="10" borderId="480" xfId="0" applyNumberFormat="1" applyFont="1" applyFill="1" applyBorder="1"/>
    <xf numFmtId="3" fontId="152" fillId="10" borderId="481" xfId="0" applyNumberFormat="1" applyFont="1" applyFill="1" applyBorder="1"/>
    <xf numFmtId="4" fontId="152" fillId="10" borderId="442" xfId="46" applyNumberFormat="1" applyFont="1" applyFill="1" applyBorder="1" applyAlignment="1"/>
    <xf numFmtId="9" fontId="97" fillId="33" borderId="473" xfId="26" applyFont="1" applyFill="1" applyBorder="1" applyAlignment="1" applyProtection="1">
      <alignment horizontal="center"/>
      <protection locked="0"/>
    </xf>
    <xf numFmtId="9" fontId="97" fillId="33" borderId="467" xfId="26" applyFont="1" applyFill="1" applyBorder="1" applyAlignment="1" applyProtection="1">
      <alignment horizontal="center"/>
      <protection locked="0"/>
    </xf>
    <xf numFmtId="4" fontId="97" fillId="33" borderId="441" xfId="45" applyNumberFormat="1" applyFont="1" applyFill="1" applyBorder="1" applyAlignment="1">
      <alignment horizontal="center"/>
    </xf>
    <xf numFmtId="0" fontId="97" fillId="14" borderId="467" xfId="45" applyFont="1" applyFill="1" applyBorder="1" applyAlignment="1">
      <alignment horizontal="left" wrapText="1"/>
    </xf>
    <xf numFmtId="4" fontId="97" fillId="33" borderId="467" xfId="45" applyNumberFormat="1" applyFont="1" applyFill="1" applyBorder="1" applyAlignment="1" applyProtection="1">
      <alignment horizontal="center"/>
      <protection locked="0"/>
    </xf>
    <xf numFmtId="4" fontId="97" fillId="60" borderId="467" xfId="45" applyNumberFormat="1" applyFont="1" applyFill="1" applyBorder="1" applyAlignment="1">
      <alignment horizontal="center"/>
    </xf>
    <xf numFmtId="4" fontId="97" fillId="33" borderId="467" xfId="45" applyNumberFormat="1" applyFont="1" applyFill="1" applyBorder="1" applyAlignment="1">
      <alignment horizontal="center"/>
    </xf>
    <xf numFmtId="2" fontId="97" fillId="33" borderId="467" xfId="45" applyNumberFormat="1" applyFont="1" applyFill="1" applyBorder="1" applyAlignment="1" applyProtection="1">
      <alignment horizontal="center"/>
      <protection locked="0"/>
    </xf>
    <xf numFmtId="0" fontId="97" fillId="14" borderId="484" xfId="45" applyFont="1" applyFill="1" applyBorder="1" applyAlignment="1">
      <alignment horizontal="left" wrapText="1"/>
    </xf>
    <xf numFmtId="4" fontId="97" fillId="14" borderId="484" xfId="1" applyFont="1" applyFill="1" applyBorder="1" applyAlignment="1" applyProtection="1">
      <alignment horizontal="center"/>
    </xf>
    <xf numFmtId="4" fontId="97" fillId="60" borderId="484" xfId="1" applyFont="1" applyFill="1" applyBorder="1" applyAlignment="1" applyProtection="1">
      <alignment horizontal="center"/>
    </xf>
    <xf numFmtId="0" fontId="97" fillId="7" borderId="441" xfId="45" applyFont="1" applyFill="1" applyBorder="1" applyAlignment="1">
      <alignment horizontal="left" wrapText="1"/>
    </xf>
    <xf numFmtId="3" fontId="87" fillId="0" borderId="485" xfId="45" applyNumberFormat="1" applyFont="1" applyBorder="1"/>
    <xf numFmtId="0" fontId="97" fillId="7" borderId="473" xfId="45" applyFont="1" applyFill="1" applyBorder="1" applyAlignment="1">
      <alignment horizontal="left" wrapText="1"/>
    </xf>
    <xf numFmtId="4" fontId="97" fillId="7" borderId="461" xfId="1" applyFont="1" applyFill="1" applyBorder="1" applyAlignment="1" applyProtection="1">
      <alignment horizontal="center"/>
    </xf>
    <xf numFmtId="0" fontId="97" fillId="30" borderId="486" xfId="45" applyFont="1" applyFill="1" applyBorder="1" applyAlignment="1">
      <alignment horizontal="left" wrapText="1"/>
    </xf>
    <xf numFmtId="4" fontId="97" fillId="30" borderId="486" xfId="1" applyFont="1" applyFill="1" applyBorder="1" applyAlignment="1" applyProtection="1">
      <alignment horizontal="center"/>
    </xf>
    <xf numFmtId="4" fontId="155" fillId="10" borderId="417" xfId="1" applyFont="1" applyFill="1" applyBorder="1" applyAlignment="1" applyProtection="1"/>
    <xf numFmtId="4" fontId="155" fillId="30" borderId="417" xfId="1" applyFont="1" applyFill="1" applyBorder="1" applyAlignment="1" applyProtection="1"/>
    <xf numFmtId="4" fontId="155" fillId="10" borderId="486" xfId="1" applyFont="1" applyFill="1" applyBorder="1" applyAlignment="1" applyProtection="1"/>
    <xf numFmtId="4" fontId="155" fillId="30" borderId="486" xfId="1" applyFont="1" applyFill="1" applyBorder="1" applyAlignment="1" applyProtection="1"/>
    <xf numFmtId="0" fontId="101" fillId="0" borderId="488" xfId="0" applyFont="1" applyBorder="1" applyAlignment="1">
      <alignment horizontal="center" wrapText="1"/>
    </xf>
    <xf numFmtId="1" fontId="4" fillId="3" borderId="489" xfId="0" applyNumberFormat="1" applyFont="1" applyFill="1" applyBorder="1" applyAlignment="1">
      <alignment horizontal="center"/>
    </xf>
    <xf numFmtId="1" fontId="4" fillId="3" borderId="394" xfId="0" applyNumberFormat="1" applyFont="1" applyFill="1" applyBorder="1" applyAlignment="1">
      <alignment horizontal="left"/>
    </xf>
    <xf numFmtId="0" fontId="38" fillId="3" borderId="388" xfId="0" applyFont="1" applyFill="1" applyBorder="1"/>
    <xf numFmtId="1" fontId="42" fillId="3" borderId="387" xfId="15" applyNumberFormat="1" applyFont="1" applyFill="1" applyBorder="1" applyAlignment="1" applyProtection="1">
      <alignment horizontal="center"/>
    </xf>
    <xf numFmtId="1" fontId="132" fillId="3" borderId="394" xfId="15" applyNumberFormat="1" applyFont="1" applyFill="1" applyBorder="1" applyAlignment="1" applyProtection="1">
      <alignment horizontal="center"/>
    </xf>
    <xf numFmtId="3" fontId="140" fillId="0" borderId="490" xfId="1" applyNumberFormat="1" applyFont="1" applyFill="1" applyBorder="1" applyAlignment="1" applyProtection="1">
      <protection locked="0"/>
    </xf>
    <xf numFmtId="3" fontId="140" fillId="0" borderId="491" xfId="1" applyNumberFormat="1" applyFont="1" applyFill="1" applyBorder="1" applyAlignment="1" applyProtection="1">
      <protection locked="0"/>
    </xf>
    <xf numFmtId="0" fontId="140" fillId="0" borderId="491" xfId="0" applyFont="1" applyBorder="1" applyProtection="1">
      <protection locked="0"/>
    </xf>
    <xf numFmtId="0" fontId="70" fillId="10" borderId="492" xfId="0" applyFont="1" applyFill="1" applyBorder="1" applyAlignment="1">
      <alignment horizontal="center"/>
    </xf>
    <xf numFmtId="0" fontId="70" fillId="10" borderId="493" xfId="0" applyFont="1" applyFill="1" applyBorder="1" applyAlignment="1">
      <alignment horizontal="left"/>
    </xf>
    <xf numFmtId="0" fontId="64" fillId="10" borderId="494" xfId="0" applyFont="1" applyFill="1" applyBorder="1"/>
    <xf numFmtId="3" fontId="70" fillId="10" borderId="495" xfId="1" applyNumberFormat="1" applyFont="1" applyFill="1" applyBorder="1" applyAlignment="1" applyProtection="1"/>
    <xf numFmtId="3" fontId="70" fillId="10" borderId="496" xfId="1" applyNumberFormat="1" applyFont="1" applyFill="1" applyBorder="1" applyAlignment="1" applyProtection="1">
      <protection locked="0"/>
    </xf>
    <xf numFmtId="0" fontId="4" fillId="3" borderId="497" xfId="0" applyFont="1" applyFill="1" applyBorder="1" applyAlignment="1">
      <alignment horizontal="center"/>
    </xf>
    <xf numFmtId="1" fontId="4" fillId="3" borderId="498" xfId="0" applyNumberFormat="1" applyFont="1" applyFill="1" applyBorder="1" applyAlignment="1">
      <alignment horizontal="left"/>
    </xf>
    <xf numFmtId="0" fontId="38" fillId="3" borderId="499" xfId="0" applyFont="1" applyFill="1" applyBorder="1"/>
    <xf numFmtId="1" fontId="42" fillId="3" borderId="500" xfId="15" applyNumberFormat="1" applyFont="1" applyFill="1" applyBorder="1" applyAlignment="1" applyProtection="1">
      <alignment horizontal="center"/>
    </xf>
    <xf numFmtId="1" fontId="42" fillId="3" borderId="501" xfId="15" applyNumberFormat="1" applyFont="1" applyFill="1" applyBorder="1" applyAlignment="1" applyProtection="1">
      <alignment horizontal="center"/>
    </xf>
    <xf numFmtId="0" fontId="4" fillId="33" borderId="502" xfId="0" applyFont="1" applyFill="1" applyBorder="1" applyAlignment="1" applyProtection="1">
      <alignment horizontal="left"/>
      <protection locked="0"/>
    </xf>
    <xf numFmtId="3" fontId="131" fillId="33" borderId="503" xfId="1" applyNumberFormat="1" applyFont="1" applyFill="1" applyBorder="1" applyAlignment="1" applyProtection="1">
      <protection locked="0"/>
    </xf>
    <xf numFmtId="3" fontId="132" fillId="0" borderId="504" xfId="1" applyNumberFormat="1" applyFont="1" applyFill="1" applyBorder="1" applyAlignment="1" applyProtection="1">
      <protection locked="0"/>
    </xf>
    <xf numFmtId="0" fontId="70" fillId="10" borderId="497" xfId="0" applyFont="1" applyFill="1" applyBorder="1" applyAlignment="1">
      <alignment horizontal="center"/>
    </xf>
    <xf numFmtId="0" fontId="70" fillId="10" borderId="498" xfId="0" applyFont="1" applyFill="1" applyBorder="1" applyAlignment="1">
      <alignment horizontal="left"/>
    </xf>
    <xf numFmtId="0" fontId="64" fillId="10" borderId="499" xfId="0" applyFont="1" applyFill="1" applyBorder="1"/>
    <xf numFmtId="3" fontId="70" fillId="10" borderId="505" xfId="1" applyNumberFormat="1" applyFont="1" applyFill="1" applyBorder="1" applyAlignment="1" applyProtection="1"/>
    <xf numFmtId="3" fontId="70" fillId="10" borderId="496" xfId="1" applyNumberFormat="1" applyFont="1" applyFill="1" applyBorder="1" applyAlignment="1" applyProtection="1"/>
    <xf numFmtId="0" fontId="4" fillId="3" borderId="506" xfId="0" applyFont="1" applyFill="1" applyBorder="1" applyAlignment="1">
      <alignment horizontal="center"/>
    </xf>
    <xf numFmtId="0" fontId="132" fillId="11" borderId="507" xfId="0" applyFont="1" applyFill="1" applyBorder="1" applyAlignment="1">
      <alignment horizontal="center"/>
    </xf>
    <xf numFmtId="0" fontId="132" fillId="0" borderId="491" xfId="0" applyFont="1" applyBorder="1" applyProtection="1">
      <protection locked="0"/>
    </xf>
    <xf numFmtId="3" fontId="131" fillId="33" borderId="508" xfId="1" applyNumberFormat="1" applyFont="1" applyFill="1" applyBorder="1" applyAlignment="1" applyProtection="1">
      <protection locked="0"/>
    </xf>
    <xf numFmtId="0" fontId="4" fillId="3" borderId="492" xfId="0" applyFont="1" applyFill="1" applyBorder="1" applyAlignment="1">
      <alignment horizontal="center"/>
    </xf>
    <xf numFmtId="1" fontId="4" fillId="3" borderId="493" xfId="0" applyNumberFormat="1" applyFont="1" applyFill="1" applyBorder="1" applyAlignment="1">
      <alignment horizontal="left"/>
    </xf>
    <xf numFmtId="0" fontId="38" fillId="3" borderId="494" xfId="0" applyFont="1" applyFill="1" applyBorder="1"/>
    <xf numFmtId="0" fontId="4" fillId="0" borderId="509" xfId="0" applyFont="1" applyBorder="1" applyAlignment="1">
      <alignment horizontal="center"/>
    </xf>
    <xf numFmtId="0" fontId="4" fillId="33" borderId="510" xfId="0" applyFont="1" applyFill="1" applyBorder="1" applyAlignment="1" applyProtection="1">
      <alignment horizontal="left"/>
      <protection locked="0"/>
    </xf>
    <xf numFmtId="3" fontId="131" fillId="11" borderId="508" xfId="1" applyNumberFormat="1" applyFont="1" applyFill="1" applyBorder="1" applyAlignment="1" applyProtection="1"/>
    <xf numFmtId="0" fontId="70" fillId="10" borderId="506" xfId="0" applyFont="1" applyFill="1" applyBorder="1" applyAlignment="1">
      <alignment horizontal="center"/>
    </xf>
    <xf numFmtId="0" fontId="64" fillId="10" borderId="511" xfId="0" applyFont="1" applyFill="1" applyBorder="1"/>
    <xf numFmtId="3" fontId="70" fillId="10" borderId="511" xfId="1" applyNumberFormat="1" applyFont="1" applyFill="1" applyBorder="1" applyAlignment="1" applyProtection="1"/>
    <xf numFmtId="3" fontId="70" fillId="10" borderId="512" xfId="1" applyNumberFormat="1" applyFont="1" applyFill="1" applyBorder="1" applyAlignment="1" applyProtection="1"/>
    <xf numFmtId="0" fontId="4" fillId="3" borderId="513" xfId="0" applyFont="1" applyFill="1" applyBorder="1" applyAlignment="1">
      <alignment horizontal="center"/>
    </xf>
    <xf numFmtId="1" fontId="4" fillId="3" borderId="448" xfId="0" applyNumberFormat="1" applyFont="1" applyFill="1" applyBorder="1" applyAlignment="1">
      <alignment horizontal="left"/>
    </xf>
    <xf numFmtId="0" fontId="38" fillId="3" borderId="514" xfId="0" applyFont="1" applyFill="1" applyBorder="1"/>
    <xf numFmtId="1" fontId="42" fillId="3" borderId="515" xfId="15" applyNumberFormat="1" applyFont="1" applyFill="1" applyBorder="1" applyAlignment="1" applyProtection="1">
      <alignment horizontal="center"/>
    </xf>
    <xf numFmtId="1" fontId="42" fillId="3" borderId="514" xfId="15" applyNumberFormat="1" applyFont="1" applyFill="1" applyBorder="1" applyAlignment="1" applyProtection="1">
      <alignment horizontal="center"/>
    </xf>
    <xf numFmtId="0" fontId="70" fillId="10" borderId="516" xfId="0" applyFont="1" applyFill="1" applyBorder="1" applyAlignment="1">
      <alignment horizontal="left"/>
    </xf>
    <xf numFmtId="0" fontId="70" fillId="10" borderId="517" xfId="0" applyFont="1" applyFill="1" applyBorder="1" applyAlignment="1">
      <alignment horizontal="left"/>
    </xf>
    <xf numFmtId="0" fontId="70" fillId="10" borderId="517" xfId="0" applyFont="1" applyFill="1" applyBorder="1"/>
    <xf numFmtId="3" fontId="70" fillId="10" borderId="518" xfId="1" applyNumberFormat="1" applyFont="1" applyFill="1" applyBorder="1" applyAlignment="1" applyProtection="1"/>
    <xf numFmtId="3" fontId="141" fillId="3" borderId="511" xfId="1" applyNumberFormat="1" applyFont="1" applyFill="1" applyBorder="1" applyAlignment="1" applyProtection="1">
      <protection locked="0"/>
    </xf>
    <xf numFmtId="3" fontId="70" fillId="10" borderId="373" xfId="1" applyNumberFormat="1" applyFont="1" applyFill="1" applyBorder="1" applyAlignment="1" applyProtection="1"/>
    <xf numFmtId="1" fontId="42" fillId="3" borderId="519" xfId="15" applyNumberFormat="1" applyFont="1" applyFill="1" applyBorder="1" applyAlignment="1" applyProtection="1">
      <alignment horizontal="center"/>
    </xf>
    <xf numFmtId="3" fontId="135" fillId="33" borderId="502" xfId="1" applyNumberFormat="1" applyFont="1" applyFill="1" applyBorder="1" applyAlignment="1" applyProtection="1">
      <protection locked="0"/>
    </xf>
    <xf numFmtId="3" fontId="135" fillId="33" borderId="508" xfId="1" applyNumberFormat="1" applyFont="1" applyFill="1" applyBorder="1" applyAlignment="1" applyProtection="1">
      <protection locked="0"/>
    </xf>
    <xf numFmtId="1" fontId="4" fillId="3" borderId="520" xfId="0" applyNumberFormat="1" applyFont="1" applyFill="1" applyBorder="1" applyAlignment="1">
      <alignment horizontal="center"/>
    </xf>
    <xf numFmtId="1" fontId="4" fillId="3" borderId="521" xfId="0" applyNumberFormat="1" applyFont="1" applyFill="1" applyBorder="1" applyAlignment="1">
      <alignment horizontal="left"/>
    </xf>
    <xf numFmtId="0" fontId="38" fillId="3" borderId="522" xfId="0" applyFont="1" applyFill="1" applyBorder="1"/>
    <xf numFmtId="1" fontId="42" fillId="3" borderId="523" xfId="15" applyNumberFormat="1" applyFont="1" applyFill="1" applyBorder="1" applyAlignment="1" applyProtection="1">
      <alignment horizontal="center"/>
    </xf>
    <xf numFmtId="1" fontId="42" fillId="3" borderId="524" xfId="15" applyNumberFormat="1" applyFont="1" applyFill="1" applyBorder="1" applyAlignment="1" applyProtection="1">
      <alignment horizontal="center"/>
    </xf>
    <xf numFmtId="0" fontId="38" fillId="3" borderId="498" xfId="0" applyFont="1" applyFill="1" applyBorder="1"/>
    <xf numFmtId="3" fontId="43" fillId="7" borderId="525" xfId="1" applyNumberFormat="1" applyFont="1" applyFill="1" applyBorder="1" applyAlignment="1" applyProtection="1"/>
    <xf numFmtId="3" fontId="43" fillId="7" borderId="499" xfId="1" applyNumberFormat="1" applyFont="1" applyFill="1" applyBorder="1" applyAlignment="1" applyProtection="1"/>
    <xf numFmtId="0" fontId="64" fillId="10" borderId="508" xfId="0" applyFont="1" applyFill="1" applyBorder="1"/>
    <xf numFmtId="0" fontId="70" fillId="10" borderId="281" xfId="0" applyFont="1" applyFill="1" applyBorder="1"/>
    <xf numFmtId="0" fontId="4" fillId="3" borderId="370" xfId="0" applyFont="1" applyFill="1" applyBorder="1" applyAlignment="1">
      <alignment horizontal="center"/>
    </xf>
    <xf numFmtId="1" fontId="4" fillId="3" borderId="526" xfId="0" applyNumberFormat="1" applyFont="1" applyFill="1" applyBorder="1" applyAlignment="1">
      <alignment horizontal="left"/>
    </xf>
    <xf numFmtId="0" fontId="38" fillId="3" borderId="487" xfId="0" applyFont="1" applyFill="1" applyBorder="1"/>
    <xf numFmtId="1" fontId="42" fillId="3" borderId="487" xfId="15" applyNumberFormat="1" applyFont="1" applyFill="1" applyBorder="1" applyAlignment="1" applyProtection="1">
      <alignment horizontal="center"/>
    </xf>
    <xf numFmtId="1" fontId="42" fillId="3" borderId="394" xfId="15" applyNumberFormat="1" applyFont="1" applyFill="1" applyBorder="1" applyAlignment="1" applyProtection="1">
      <alignment horizontal="center"/>
    </xf>
    <xf numFmtId="0" fontId="4" fillId="33" borderId="226" xfId="0" applyFont="1" applyFill="1" applyBorder="1" applyAlignment="1" applyProtection="1">
      <alignment horizontal="left"/>
      <protection locked="0"/>
    </xf>
    <xf numFmtId="0" fontId="140" fillId="0" borderId="527" xfId="0" applyFont="1" applyBorder="1" applyProtection="1">
      <protection locked="0"/>
    </xf>
    <xf numFmtId="0" fontId="140" fillId="0" borderId="528" xfId="0" applyFont="1" applyBorder="1" applyProtection="1">
      <protection locked="0"/>
    </xf>
    <xf numFmtId="0" fontId="64" fillId="18" borderId="529" xfId="0" applyFont="1" applyFill="1" applyBorder="1"/>
    <xf numFmtId="0" fontId="4" fillId="22" borderId="530" xfId="0" applyFont="1" applyFill="1" applyBorder="1"/>
    <xf numFmtId="3" fontId="38" fillId="3" borderId="281" xfId="15" applyFont="1" applyFill="1" applyBorder="1" applyAlignment="1" applyProtection="1">
      <alignment horizontal="center"/>
    </xf>
    <xf numFmtId="3" fontId="4" fillId="3" borderId="531" xfId="15" applyFont="1" applyFill="1" applyBorder="1" applyAlignment="1" applyProtection="1">
      <alignment horizontal="center" vertical="center" wrapText="1"/>
    </xf>
    <xf numFmtId="3" fontId="4" fillId="3" borderId="532" xfId="15" applyFont="1" applyFill="1" applyBorder="1" applyAlignment="1" applyProtection="1">
      <alignment horizontal="center" vertical="center" wrapText="1"/>
    </xf>
    <xf numFmtId="3" fontId="4" fillId="3" borderId="533" xfId="15" applyFont="1" applyFill="1" applyBorder="1" applyAlignment="1" applyProtection="1">
      <alignment horizontal="center" vertical="center" wrapText="1"/>
    </xf>
    <xf numFmtId="3" fontId="3" fillId="3" borderId="533" xfId="15" applyFont="1" applyFill="1" applyBorder="1" applyAlignment="1" applyProtection="1">
      <alignment horizontal="center" vertical="center" wrapText="1"/>
    </xf>
    <xf numFmtId="3" fontId="4" fillId="3" borderId="534" xfId="15" applyFont="1" applyFill="1" applyBorder="1" applyAlignment="1" applyProtection="1">
      <alignment horizontal="center" vertical="center" wrapText="1"/>
    </xf>
    <xf numFmtId="3" fontId="4" fillId="3" borderId="535" xfId="15" applyFont="1" applyFill="1" applyBorder="1" applyAlignment="1" applyProtection="1">
      <alignment horizontal="center" vertical="center" wrapText="1"/>
    </xf>
    <xf numFmtId="0" fontId="0" fillId="33" borderId="536" xfId="0" applyFill="1" applyBorder="1" applyProtection="1">
      <protection locked="0"/>
    </xf>
    <xf numFmtId="4" fontId="136" fillId="49" borderId="537" xfId="0" applyNumberFormat="1" applyFont="1" applyFill="1" applyBorder="1" applyProtection="1">
      <protection locked="0"/>
    </xf>
    <xf numFmtId="4" fontId="137" fillId="49" borderId="537" xfId="0" applyNumberFormat="1" applyFont="1" applyFill="1" applyBorder="1" applyProtection="1">
      <protection locked="0"/>
    </xf>
    <xf numFmtId="3" fontId="137" fillId="49" borderId="537" xfId="0" applyNumberFormat="1" applyFont="1" applyFill="1" applyBorder="1" applyProtection="1">
      <protection locked="0"/>
    </xf>
    <xf numFmtId="4" fontId="134" fillId="11" borderId="537" xfId="0" applyNumberFormat="1" applyFont="1" applyFill="1" applyBorder="1"/>
    <xf numFmtId="4" fontId="134" fillId="11" borderId="538" xfId="0" applyNumberFormat="1" applyFont="1" applyFill="1" applyBorder="1"/>
    <xf numFmtId="0" fontId="0" fillId="33" borderId="491" xfId="0" applyFill="1" applyBorder="1" applyProtection="1">
      <protection locked="0"/>
    </xf>
    <xf numFmtId="3" fontId="137" fillId="49" borderId="539" xfId="0" applyNumberFormat="1" applyFont="1" applyFill="1" applyBorder="1" applyProtection="1">
      <protection locked="0"/>
    </xf>
    <xf numFmtId="3" fontId="137" fillId="49" borderId="486" xfId="0" applyNumberFormat="1" applyFont="1" applyFill="1" applyBorder="1" applyProtection="1">
      <protection locked="0"/>
    </xf>
    <xf numFmtId="4" fontId="134" fillId="11" borderId="539" xfId="0" applyNumberFormat="1" applyFont="1" applyFill="1" applyBorder="1"/>
    <xf numFmtId="4" fontId="134" fillId="11" borderId="540" xfId="0" applyNumberFormat="1" applyFont="1" applyFill="1" applyBorder="1"/>
    <xf numFmtId="4" fontId="136" fillId="49" borderId="539" xfId="0" applyNumberFormat="1" applyFont="1" applyFill="1" applyBorder="1" applyProtection="1">
      <protection locked="0"/>
    </xf>
    <xf numFmtId="4" fontId="137" fillId="49" borderId="539" xfId="0" applyNumberFormat="1" applyFont="1" applyFill="1" applyBorder="1" applyProtection="1">
      <protection locked="0"/>
    </xf>
    <xf numFmtId="0" fontId="0" fillId="33" borderId="528" xfId="0" applyFill="1" applyBorder="1" applyProtection="1">
      <protection locked="0"/>
    </xf>
    <xf numFmtId="4" fontId="135" fillId="33" borderId="460" xfId="11" applyNumberFormat="1" applyFont="1" applyFill="1" applyBorder="1" applyAlignment="1" applyProtection="1">
      <protection locked="0"/>
    </xf>
    <xf numFmtId="4" fontId="135" fillId="33" borderId="460" xfId="0" applyNumberFormat="1" applyFont="1" applyFill="1" applyBorder="1" applyProtection="1">
      <protection locked="0"/>
    </xf>
    <xf numFmtId="3" fontId="135" fillId="33" borderId="541" xfId="0" applyNumberFormat="1" applyFont="1" applyFill="1" applyBorder="1" applyProtection="1">
      <protection locked="0"/>
    </xf>
    <xf numFmtId="3" fontId="135" fillId="33" borderId="542" xfId="0" applyNumberFormat="1" applyFont="1" applyFill="1" applyBorder="1" applyProtection="1">
      <protection locked="0"/>
    </xf>
    <xf numFmtId="0" fontId="0" fillId="33" borderId="527" xfId="0" applyFill="1" applyBorder="1" applyProtection="1">
      <protection locked="0"/>
    </xf>
    <xf numFmtId="3" fontId="4" fillId="33" borderId="349" xfId="15" applyFont="1" applyFill="1" applyBorder="1" applyAlignment="1" applyProtection="1">
      <protection locked="0"/>
    </xf>
    <xf numFmtId="3" fontId="4" fillId="33" borderId="543" xfId="15" applyFont="1" applyFill="1" applyBorder="1" applyAlignment="1" applyProtection="1">
      <alignment horizontal="left"/>
      <protection locked="0"/>
    </xf>
    <xf numFmtId="3" fontId="4" fillId="33" borderId="544" xfId="15" applyFont="1" applyFill="1" applyBorder="1" applyAlignment="1" applyProtection="1">
      <alignment horizontal="left"/>
      <protection locked="0"/>
    </xf>
    <xf numFmtId="0" fontId="4" fillId="7" borderId="550" xfId="0" applyFont="1" applyFill="1" applyBorder="1"/>
    <xf numFmtId="0" fontId="4" fillId="33" borderId="537" xfId="0" applyFont="1" applyFill="1" applyBorder="1" applyAlignment="1" applyProtection="1">
      <alignment horizontal="left"/>
      <protection locked="0"/>
    </xf>
    <xf numFmtId="0" fontId="4" fillId="33" borderId="545" xfId="0" applyFont="1" applyFill="1" applyBorder="1" applyAlignment="1" applyProtection="1">
      <alignment horizontal="left"/>
      <protection locked="0"/>
    </xf>
    <xf numFmtId="0" fontId="38" fillId="33" borderId="472" xfId="0" applyFont="1" applyFill="1" applyBorder="1" applyAlignment="1" applyProtection="1">
      <alignment horizontal="left"/>
      <protection locked="0"/>
    </xf>
    <xf numFmtId="3" fontId="4" fillId="33" borderId="441" xfId="15" applyFont="1" applyFill="1" applyBorder="1" applyAlignment="1" applyProtection="1">
      <alignment horizontal="center" vertical="center"/>
      <protection locked="0"/>
    </xf>
    <xf numFmtId="3" fontId="4" fillId="33" borderId="447" xfId="15" applyFont="1" applyFill="1" applyBorder="1" applyAlignment="1" applyProtection="1">
      <alignment horizontal="center"/>
      <protection locked="0"/>
    </xf>
    <xf numFmtId="3" fontId="4" fillId="33" borderId="461" xfId="15" applyFont="1" applyFill="1" applyBorder="1" applyAlignment="1" applyProtection="1">
      <alignment horizontal="center" vertical="center"/>
      <protection locked="0"/>
    </xf>
    <xf numFmtId="3" fontId="4" fillId="33" borderId="547" xfId="15" applyFont="1" applyFill="1" applyBorder="1" applyAlignment="1" applyProtection="1">
      <alignment horizontal="center"/>
      <protection locked="0"/>
    </xf>
    <xf numFmtId="3" fontId="38" fillId="21" borderId="531" xfId="15" applyFont="1" applyFill="1" applyBorder="1" applyAlignment="1" applyProtection="1">
      <alignment horizontal="center" wrapText="1"/>
    </xf>
    <xf numFmtId="3" fontId="38" fillId="21" borderId="531" xfId="15" applyFont="1" applyFill="1" applyBorder="1" applyAlignment="1" applyProtection="1">
      <alignment horizontal="left" wrapText="1"/>
    </xf>
    <xf numFmtId="0" fontId="4" fillId="35" borderId="531" xfId="15" applyNumberFormat="1" applyFont="1" applyFill="1" applyBorder="1" applyAlignment="1" applyProtection="1">
      <alignment horizontal="center" wrapText="1"/>
      <protection locked="0"/>
    </xf>
    <xf numFmtId="3" fontId="4" fillId="3" borderId="555" xfId="15" applyFont="1" applyFill="1" applyBorder="1" applyAlignment="1" applyProtection="1">
      <alignment horizontal="center" vertical="center" wrapText="1"/>
    </xf>
    <xf numFmtId="3" fontId="4" fillId="3" borderId="372" xfId="15" applyFont="1" applyFill="1" applyBorder="1" applyAlignment="1" applyProtection="1">
      <alignment horizontal="center" vertical="center" wrapText="1"/>
    </xf>
    <xf numFmtId="3" fontId="4" fillId="3" borderId="565" xfId="15" applyFont="1" applyFill="1" applyBorder="1" applyAlignment="1" applyProtection="1">
      <alignment horizontal="center" vertical="center" wrapText="1"/>
    </xf>
    <xf numFmtId="3" fontId="4" fillId="3" borderId="407" xfId="15" applyFont="1" applyFill="1" applyBorder="1" applyAlignment="1" applyProtection="1">
      <alignment horizontal="center" vertical="center" wrapText="1"/>
    </xf>
    <xf numFmtId="3" fontId="4" fillId="3" borderId="409" xfId="15" applyFont="1" applyFill="1" applyBorder="1" applyAlignment="1" applyProtection="1">
      <alignment horizontal="center" vertical="center" wrapText="1"/>
    </xf>
    <xf numFmtId="3" fontId="4" fillId="3" borderId="413" xfId="15" applyFont="1" applyFill="1" applyBorder="1" applyAlignment="1" applyProtection="1">
      <alignment horizontal="center" vertical="center" wrapText="1"/>
    </xf>
    <xf numFmtId="3" fontId="136" fillId="49" borderId="545" xfId="0" applyNumberFormat="1" applyFont="1" applyFill="1" applyBorder="1" applyProtection="1">
      <protection locked="0"/>
    </xf>
    <xf numFmtId="3" fontId="137" fillId="49" borderId="545" xfId="0" applyNumberFormat="1" applyFont="1" applyFill="1" applyBorder="1" applyProtection="1">
      <protection locked="0"/>
    </xf>
    <xf numFmtId="3" fontId="137" fillId="49" borderId="566" xfId="0" applyNumberFormat="1" applyFont="1" applyFill="1" applyBorder="1" applyProtection="1">
      <protection locked="0"/>
    </xf>
    <xf numFmtId="3" fontId="137" fillId="49" borderId="567" xfId="0" applyNumberFormat="1" applyFont="1" applyFill="1" applyBorder="1" applyProtection="1">
      <protection locked="0"/>
    </xf>
    <xf numFmtId="3" fontId="137" fillId="49" borderId="568" xfId="0" applyNumberFormat="1" applyFont="1" applyFill="1" applyBorder="1" applyProtection="1">
      <protection locked="0"/>
    </xf>
    <xf numFmtId="3" fontId="137" fillId="49" borderId="546" xfId="0" applyNumberFormat="1" applyFont="1" applyFill="1" applyBorder="1" applyProtection="1">
      <protection locked="0"/>
    </xf>
    <xf numFmtId="3" fontId="134" fillId="11" borderId="545" xfId="0" applyNumberFormat="1" applyFont="1" applyFill="1" applyBorder="1"/>
    <xf numFmtId="3" fontId="134" fillId="11" borderId="546" xfId="0" applyNumberFormat="1" applyFont="1" applyFill="1" applyBorder="1"/>
    <xf numFmtId="3" fontId="136" fillId="49" borderId="537" xfId="0" applyNumberFormat="1" applyFont="1" applyFill="1" applyBorder="1" applyProtection="1">
      <protection locked="0"/>
    </xf>
    <xf numFmtId="3" fontId="135" fillId="33" borderId="460" xfId="11" applyFont="1" applyFill="1" applyBorder="1" applyAlignment="1" applyProtection="1">
      <protection locked="0"/>
    </xf>
    <xf numFmtId="3" fontId="135" fillId="33" borderId="460" xfId="0" applyNumberFormat="1" applyFont="1" applyFill="1" applyBorder="1" applyProtection="1">
      <protection locked="0"/>
    </xf>
    <xf numFmtId="3" fontId="135" fillId="33" borderId="461" xfId="0" applyNumberFormat="1" applyFont="1" applyFill="1" applyBorder="1" applyProtection="1">
      <protection locked="0"/>
    </xf>
    <xf numFmtId="3" fontId="135" fillId="33" borderId="547" xfId="0" applyNumberFormat="1" applyFont="1" applyFill="1" applyBorder="1" applyProtection="1">
      <protection locked="0"/>
    </xf>
    <xf numFmtId="3" fontId="70" fillId="10" borderId="532" xfId="15" applyFont="1" applyFill="1" applyBorder="1" applyAlignment="1" applyProtection="1"/>
    <xf numFmtId="3" fontId="70" fillId="10" borderId="548" xfId="15" applyFont="1" applyFill="1" applyBorder="1" applyAlignment="1" applyProtection="1"/>
    <xf numFmtId="3" fontId="4" fillId="6" borderId="548" xfId="15" applyFont="1" applyFill="1" applyBorder="1" applyAlignment="1" applyProtection="1"/>
    <xf numFmtId="3" fontId="4" fillId="3" borderId="373" xfId="15" applyFont="1" applyFill="1" applyBorder="1" applyAlignment="1" applyProtection="1">
      <alignment horizontal="center" vertical="center" wrapText="1"/>
    </xf>
    <xf numFmtId="3" fontId="134" fillId="11" borderId="460" xfId="0" applyNumberFormat="1" applyFont="1" applyFill="1" applyBorder="1"/>
    <xf numFmtId="3" fontId="134" fillId="11" borderId="547" xfId="0" applyNumberFormat="1" applyFont="1" applyFill="1" applyBorder="1"/>
    <xf numFmtId="1" fontId="43" fillId="16" borderId="570" xfId="0" applyNumberFormat="1" applyFont="1" applyFill="1" applyBorder="1" applyAlignment="1">
      <alignment horizontal="center"/>
    </xf>
    <xf numFmtId="0" fontId="4" fillId="33" borderId="568" xfId="0" applyFont="1" applyFill="1" applyBorder="1" applyProtection="1">
      <protection locked="0"/>
    </xf>
    <xf numFmtId="0" fontId="4" fillId="27" borderId="544" xfId="0" applyFont="1" applyFill="1" applyBorder="1" applyAlignment="1">
      <alignment horizontal="left"/>
    </xf>
    <xf numFmtId="0" fontId="4" fillId="27" borderId="566" xfId="0" applyFont="1" applyFill="1" applyBorder="1" applyAlignment="1">
      <alignment horizontal="left"/>
    </xf>
    <xf numFmtId="3" fontId="134" fillId="15" borderId="568" xfId="0" applyNumberFormat="1" applyFont="1" applyFill="1" applyBorder="1" applyAlignment="1">
      <alignment horizontal="center"/>
    </xf>
    <xf numFmtId="0" fontId="4" fillId="10" borderId="568" xfId="0" applyFont="1" applyFill="1" applyBorder="1"/>
    <xf numFmtId="0" fontId="4" fillId="7" borderId="545" xfId="0" applyFont="1" applyFill="1" applyBorder="1"/>
    <xf numFmtId="1" fontId="43" fillId="16" borderId="543" xfId="0" applyNumberFormat="1" applyFont="1" applyFill="1" applyBorder="1" applyAlignment="1">
      <alignment horizontal="center"/>
    </xf>
    <xf numFmtId="0" fontId="4" fillId="33" borderId="537" xfId="0" applyFont="1" applyFill="1" applyBorder="1" applyProtection="1">
      <protection locked="0"/>
    </xf>
    <xf numFmtId="0" fontId="4" fillId="33" borderId="545" xfId="0" applyFont="1" applyFill="1" applyBorder="1" applyProtection="1">
      <protection locked="0"/>
    </xf>
    <xf numFmtId="3" fontId="131" fillId="33" borderId="579" xfId="0" applyNumberFormat="1" applyFont="1" applyFill="1" applyBorder="1" applyProtection="1">
      <protection locked="0"/>
    </xf>
    <xf numFmtId="3" fontId="131" fillId="33" borderId="580" xfId="0" applyNumberFormat="1" applyFont="1" applyFill="1" applyBorder="1" applyProtection="1">
      <protection locked="0"/>
    </xf>
    <xf numFmtId="0" fontId="4" fillId="33" borderId="582" xfId="0" applyFont="1" applyFill="1" applyBorder="1" applyProtection="1">
      <protection locked="0"/>
    </xf>
    <xf numFmtId="3" fontId="131" fillId="33" borderId="554" xfId="0" applyNumberFormat="1" applyFont="1" applyFill="1" applyBorder="1" applyProtection="1">
      <protection locked="0"/>
    </xf>
    <xf numFmtId="0" fontId="4" fillId="10" borderId="460" xfId="0" applyFont="1" applyFill="1" applyBorder="1"/>
    <xf numFmtId="0" fontId="4" fillId="7" borderId="445" xfId="0" applyFont="1" applyFill="1" applyBorder="1"/>
    <xf numFmtId="1" fontId="43" fillId="16" borderId="585" xfId="0" applyNumberFormat="1" applyFont="1" applyFill="1" applyBorder="1" applyAlignment="1">
      <alignment horizontal="center"/>
    </xf>
    <xf numFmtId="3" fontId="131" fillId="33" borderId="587" xfId="0" applyNumberFormat="1" applyFont="1" applyFill="1" applyBorder="1" applyProtection="1">
      <protection locked="0"/>
    </xf>
    <xf numFmtId="1" fontId="43" fillId="16" borderId="589" xfId="0" applyNumberFormat="1" applyFont="1" applyFill="1" applyBorder="1" applyAlignment="1">
      <alignment horizontal="center"/>
    </xf>
    <xf numFmtId="3" fontId="131" fillId="33" borderId="581" xfId="0" applyNumberFormat="1" applyFont="1" applyFill="1" applyBorder="1" applyProtection="1">
      <protection locked="0"/>
    </xf>
    <xf numFmtId="0" fontId="64" fillId="10" borderId="590" xfId="0" applyFont="1" applyFill="1" applyBorder="1"/>
    <xf numFmtId="0" fontId="64" fillId="10" borderId="591" xfId="0" applyFont="1" applyFill="1" applyBorder="1"/>
    <xf numFmtId="1" fontId="43" fillId="16" borderId="592" xfId="0" applyNumberFormat="1" applyFont="1" applyFill="1" applyBorder="1" applyAlignment="1">
      <alignment horizontal="center"/>
    </xf>
    <xf numFmtId="1" fontId="43" fillId="16" borderId="407" xfId="0" applyNumberFormat="1" applyFont="1" applyFill="1" applyBorder="1" applyAlignment="1">
      <alignment horizontal="center"/>
    </xf>
    <xf numFmtId="3" fontId="131" fillId="33" borderId="597" xfId="0" applyNumberFormat="1" applyFont="1" applyFill="1" applyBorder="1" applyProtection="1">
      <protection locked="0"/>
    </xf>
    <xf numFmtId="0" fontId="43" fillId="33" borderId="352" xfId="0" applyFont="1" applyFill="1" applyBorder="1" applyProtection="1">
      <protection locked="0"/>
    </xf>
    <xf numFmtId="3" fontId="43" fillId="33" borderId="373" xfId="0" applyNumberFormat="1" applyFont="1" applyFill="1" applyBorder="1" applyProtection="1">
      <protection locked="0"/>
    </xf>
    <xf numFmtId="3" fontId="64" fillId="10" borderId="591" xfId="0" applyNumberFormat="1" applyFont="1" applyFill="1" applyBorder="1"/>
    <xf numFmtId="3" fontId="131" fillId="33" borderId="600" xfId="0" applyNumberFormat="1" applyFont="1" applyFill="1" applyBorder="1" applyProtection="1">
      <protection locked="0"/>
    </xf>
    <xf numFmtId="0" fontId="4" fillId="10" borderId="604" xfId="0" applyFont="1" applyFill="1" applyBorder="1"/>
    <xf numFmtId="0" fontId="64" fillId="10" borderId="352" xfId="0" applyFont="1" applyFill="1" applyBorder="1"/>
    <xf numFmtId="0" fontId="64" fillId="10" borderId="605" xfId="0" applyFont="1" applyFill="1" applyBorder="1"/>
    <xf numFmtId="3" fontId="70" fillId="9" borderId="554" xfId="0" applyNumberFormat="1" applyFont="1" applyFill="1" applyBorder="1"/>
    <xf numFmtId="1" fontId="43" fillId="16" borderId="406" xfId="0" applyNumberFormat="1" applyFont="1" applyFill="1" applyBorder="1" applyAlignment="1">
      <alignment horizontal="center"/>
    </xf>
    <xf numFmtId="3" fontId="38" fillId="16" borderId="467" xfId="1" applyNumberFormat="1" applyFont="1" applyFill="1" applyBorder="1" applyAlignment="1">
      <alignment horizontal="right"/>
    </xf>
    <xf numFmtId="3" fontId="131" fillId="7" borderId="606" xfId="0" applyNumberFormat="1" applyFont="1" applyFill="1" applyBorder="1"/>
    <xf numFmtId="0" fontId="4" fillId="33" borderId="607" xfId="0" applyFont="1" applyFill="1" applyBorder="1" applyProtection="1">
      <protection locked="0"/>
    </xf>
    <xf numFmtId="3" fontId="131" fillId="7" borderId="610" xfId="0" applyNumberFormat="1" applyFont="1" applyFill="1" applyBorder="1"/>
    <xf numFmtId="1" fontId="43" fillId="16" borderId="611" xfId="0" applyNumberFormat="1" applyFont="1" applyFill="1" applyBorder="1" applyAlignment="1">
      <alignment horizontal="center"/>
    </xf>
    <xf numFmtId="3" fontId="4" fillId="7" borderId="612" xfId="0" applyNumberFormat="1" applyFont="1" applyFill="1" applyBorder="1"/>
    <xf numFmtId="3" fontId="4" fillId="7" borderId="613" xfId="0" applyNumberFormat="1" applyFont="1" applyFill="1" applyBorder="1"/>
    <xf numFmtId="0" fontId="64" fillId="10" borderId="608" xfId="0" applyFont="1" applyFill="1" applyBorder="1"/>
    <xf numFmtId="0" fontId="64" fillId="10" borderId="614" xfId="0" applyFont="1" applyFill="1" applyBorder="1"/>
    <xf numFmtId="1" fontId="43" fillId="16" borderId="615" xfId="0" applyNumberFormat="1" applyFont="1" applyFill="1" applyBorder="1" applyAlignment="1">
      <alignment horizontal="center"/>
    </xf>
    <xf numFmtId="3" fontId="101" fillId="33" borderId="616" xfId="0" applyNumberFormat="1" applyFont="1" applyFill="1" applyBorder="1" applyProtection="1">
      <protection locked="0"/>
    </xf>
    <xf numFmtId="3" fontId="101" fillId="33" borderId="467" xfId="0" applyNumberFormat="1" applyFont="1" applyFill="1" applyBorder="1" applyProtection="1">
      <protection locked="0"/>
    </xf>
    <xf numFmtId="3" fontId="131" fillId="33" borderId="575" xfId="0" applyNumberFormat="1" applyFont="1" applyFill="1" applyBorder="1" applyProtection="1">
      <protection locked="0"/>
    </xf>
    <xf numFmtId="3" fontId="70" fillId="9" borderId="618" xfId="0" applyNumberFormat="1" applyFont="1" applyFill="1" applyBorder="1"/>
    <xf numFmtId="0" fontId="4" fillId="10" borderId="601" xfId="0" applyFont="1" applyFill="1" applyBorder="1"/>
    <xf numFmtId="3" fontId="88" fillId="11" borderId="448" xfId="0" applyNumberFormat="1" applyFont="1" applyFill="1" applyBorder="1"/>
    <xf numFmtId="0" fontId="70" fillId="74" borderId="281" xfId="0" applyFont="1" applyFill="1" applyBorder="1"/>
    <xf numFmtId="0" fontId="101" fillId="0" borderId="572" xfId="0" applyFont="1" applyBorder="1" applyAlignment="1">
      <alignment horizontal="center" wrapText="1"/>
    </xf>
    <xf numFmtId="0" fontId="30" fillId="0" borderId="572" xfId="0" applyFont="1" applyBorder="1" applyAlignment="1">
      <alignment horizontal="center"/>
    </xf>
    <xf numFmtId="0" fontId="38" fillId="0" borderId="549" xfId="0" applyFont="1" applyBorder="1" applyAlignment="1">
      <alignment horizontal="center" wrapText="1"/>
    </xf>
    <xf numFmtId="0" fontId="4" fillId="3" borderId="555" xfId="0" applyFont="1" applyFill="1" applyBorder="1" applyAlignment="1">
      <alignment horizontal="center"/>
    </xf>
    <xf numFmtId="0" fontId="4" fillId="3" borderId="554" xfId="0" applyFont="1" applyFill="1" applyBorder="1" applyAlignment="1">
      <alignment horizontal="center"/>
    </xf>
    <xf numFmtId="0" fontId="38" fillId="3" borderId="576" xfId="0" applyFont="1" applyFill="1" applyBorder="1"/>
    <xf numFmtId="1" fontId="42" fillId="3" borderId="606" xfId="15" applyNumberFormat="1" applyFont="1" applyFill="1" applyBorder="1" applyAlignment="1" applyProtection="1">
      <alignment horizontal="center"/>
    </xf>
    <xf numFmtId="1" fontId="42" fillId="3" borderId="576" xfId="15" applyNumberFormat="1" applyFont="1" applyFill="1" applyBorder="1" applyAlignment="1" applyProtection="1">
      <alignment horizontal="center"/>
    </xf>
    <xf numFmtId="3" fontId="132" fillId="0" borderId="491" xfId="1" applyNumberFormat="1" applyFont="1" applyFill="1" applyBorder="1" applyAlignment="1" applyProtection="1">
      <protection locked="0"/>
    </xf>
    <xf numFmtId="0" fontId="70" fillId="24" borderId="621" xfId="0" applyFont="1" applyFill="1" applyBorder="1" applyAlignment="1">
      <alignment horizontal="left"/>
    </xf>
    <xf numFmtId="0" fontId="70" fillId="24" borderId="622" xfId="0" applyFont="1" applyFill="1" applyBorder="1" applyAlignment="1">
      <alignment horizontal="left"/>
    </xf>
    <xf numFmtId="0" fontId="64" fillId="24" borderId="622" xfId="0" applyFont="1" applyFill="1" applyBorder="1"/>
    <xf numFmtId="3" fontId="70" fillId="10" borderId="623" xfId="1" applyNumberFormat="1" applyFont="1" applyFill="1" applyBorder="1" applyAlignment="1" applyProtection="1"/>
    <xf numFmtId="3" fontId="64" fillId="10" borderId="623" xfId="1" applyNumberFormat="1" applyFont="1" applyFill="1" applyBorder="1" applyAlignment="1" applyProtection="1"/>
    <xf numFmtId="10" fontId="70" fillId="10" borderId="545" xfId="0" applyNumberFormat="1" applyFont="1" applyFill="1" applyBorder="1"/>
    <xf numFmtId="3" fontId="70" fillId="10" borderId="624" xfId="1" applyNumberFormat="1" applyFont="1" applyFill="1" applyBorder="1" applyAlignment="1" applyProtection="1"/>
    <xf numFmtId="0" fontId="4" fillId="3" borderId="625" xfId="0" applyFont="1" applyFill="1" applyBorder="1" applyAlignment="1">
      <alignment horizontal="center"/>
    </xf>
    <xf numFmtId="0" fontId="4" fillId="3" borderId="626" xfId="0" applyFont="1" applyFill="1" applyBorder="1" applyAlignment="1">
      <alignment horizontal="center"/>
    </xf>
    <xf numFmtId="0" fontId="38" fillId="3" borderId="627" xfId="0" applyFont="1" applyFill="1" applyBorder="1"/>
    <xf numFmtId="1" fontId="42" fillId="3" borderId="627" xfId="15" applyNumberFormat="1" applyFont="1" applyFill="1" applyBorder="1" applyAlignment="1" applyProtection="1">
      <alignment horizontal="center"/>
    </xf>
    <xf numFmtId="1" fontId="42" fillId="3" borderId="628" xfId="15" applyNumberFormat="1" applyFont="1" applyFill="1" applyBorder="1" applyAlignment="1" applyProtection="1">
      <alignment horizontal="center"/>
    </xf>
    <xf numFmtId="10" fontId="4" fillId="7" borderId="629" xfId="0" applyNumberFormat="1" applyFont="1" applyFill="1" applyBorder="1"/>
    <xf numFmtId="3" fontId="4" fillId="7" borderId="624" xfId="1" applyNumberFormat="1" applyFont="1" applyFill="1" applyBorder="1" applyAlignment="1" applyProtection="1"/>
    <xf numFmtId="3" fontId="131" fillId="33" borderId="630" xfId="1" applyNumberFormat="1" applyFont="1" applyFill="1" applyBorder="1" applyAlignment="1" applyProtection="1">
      <protection locked="0"/>
    </xf>
    <xf numFmtId="3" fontId="131" fillId="33" borderId="631" xfId="1" applyNumberFormat="1" applyFont="1" applyFill="1" applyBorder="1" applyAlignment="1" applyProtection="1">
      <protection locked="0"/>
    </xf>
    <xf numFmtId="0" fontId="70" fillId="18" borderId="632" xfId="0" applyFont="1" applyFill="1" applyBorder="1"/>
    <xf numFmtId="0" fontId="70" fillId="18" borderId="633" xfId="0" applyFont="1" applyFill="1" applyBorder="1"/>
    <xf numFmtId="0" fontId="64" fillId="18" borderId="633" xfId="0" applyFont="1" applyFill="1" applyBorder="1"/>
    <xf numFmtId="3" fontId="70" fillId="10" borderId="634" xfId="1" applyNumberFormat="1" applyFont="1" applyFill="1" applyBorder="1" applyAlignment="1" applyProtection="1"/>
    <xf numFmtId="3" fontId="64" fillId="10" borderId="635" xfId="1" applyNumberFormat="1" applyFont="1" applyFill="1" applyBorder="1" applyAlignment="1" applyProtection="1"/>
    <xf numFmtId="0" fontId="4" fillId="3" borderId="636" xfId="0" applyFont="1" applyFill="1" applyBorder="1" applyAlignment="1">
      <alignment horizontal="center"/>
    </xf>
    <xf numFmtId="0" fontId="4" fillId="3" borderId="583" xfId="0" applyFont="1" applyFill="1" applyBorder="1" applyAlignment="1">
      <alignment horizontal="center"/>
    </xf>
    <xf numFmtId="0" fontId="38" fillId="3" borderId="637" xfId="0" applyFont="1" applyFill="1" applyBorder="1"/>
    <xf numFmtId="1" fontId="42" fillId="3" borderId="611" xfId="15" applyNumberFormat="1" applyFont="1" applyFill="1" applyBorder="1" applyAlignment="1" applyProtection="1">
      <alignment horizontal="center"/>
    </xf>
    <xf numFmtId="1" fontId="42" fillId="3" borderId="637" xfId="15" applyNumberFormat="1" applyFont="1" applyFill="1" applyBorder="1" applyAlignment="1" applyProtection="1">
      <alignment horizontal="center"/>
    </xf>
    <xf numFmtId="0" fontId="132" fillId="11" borderId="638" xfId="0" applyFont="1" applyFill="1" applyBorder="1" applyAlignment="1">
      <alignment horizontal="center"/>
    </xf>
    <xf numFmtId="3" fontId="140" fillId="0" borderId="528" xfId="1" applyNumberFormat="1" applyFont="1" applyFill="1" applyBorder="1" applyAlignment="1" applyProtection="1">
      <protection locked="0"/>
    </xf>
    <xf numFmtId="3" fontId="70" fillId="10" borderId="639" xfId="1" applyNumberFormat="1" applyFont="1" applyFill="1" applyBorder="1" applyAlignment="1" applyProtection="1"/>
    <xf numFmtId="1" fontId="42" fillId="3" borderId="637" xfId="0" applyNumberFormat="1" applyFont="1" applyFill="1" applyBorder="1" applyAlignment="1">
      <alignment horizontal="center" vertical="top" wrapText="1"/>
    </xf>
    <xf numFmtId="0" fontId="140" fillId="11" borderId="640" xfId="0" applyFont="1" applyFill="1" applyBorder="1" applyAlignment="1">
      <alignment horizontal="center"/>
    </xf>
    <xf numFmtId="0" fontId="70" fillId="10" borderId="621" xfId="0" applyFont="1" applyFill="1" applyBorder="1" applyAlignment="1">
      <alignment horizontal="left"/>
    </xf>
    <xf numFmtId="0" fontId="70" fillId="10" borderId="622" xfId="0" applyFont="1" applyFill="1" applyBorder="1" applyAlignment="1">
      <alignment horizontal="left"/>
    </xf>
    <xf numFmtId="0" fontId="70" fillId="10" borderId="622" xfId="0" applyFont="1" applyFill="1" applyBorder="1"/>
    <xf numFmtId="0" fontId="38" fillId="3" borderId="628" xfId="0" applyFont="1" applyFill="1" applyBorder="1"/>
    <xf numFmtId="1" fontId="42" fillId="3" borderId="628" xfId="0" applyNumberFormat="1" applyFont="1" applyFill="1" applyBorder="1" applyAlignment="1">
      <alignment horizontal="center" vertical="top" wrapText="1"/>
    </xf>
    <xf numFmtId="0" fontId="140" fillId="11" borderId="641" xfId="0" applyFont="1" applyFill="1" applyBorder="1" applyAlignment="1">
      <alignment horizontal="center"/>
    </xf>
    <xf numFmtId="0" fontId="140" fillId="6" borderId="641" xfId="0" applyFont="1" applyFill="1" applyBorder="1" applyProtection="1">
      <protection locked="0"/>
    </xf>
    <xf numFmtId="3" fontId="70" fillId="10" borderId="628" xfId="1" applyNumberFormat="1" applyFont="1" applyFill="1" applyBorder="1" applyAlignment="1" applyProtection="1"/>
    <xf numFmtId="0" fontId="70" fillId="10" borderId="642" xfId="0" applyFont="1" applyFill="1" applyBorder="1" applyAlignment="1">
      <alignment horizontal="left"/>
    </xf>
    <xf numFmtId="0" fontId="70" fillId="10" borderId="643" xfId="0" applyFont="1" applyFill="1" applyBorder="1" applyAlignment="1">
      <alignment horizontal="left"/>
    </xf>
    <xf numFmtId="0" fontId="70" fillId="10" borderId="643" xfId="0" applyFont="1" applyFill="1" applyBorder="1"/>
    <xf numFmtId="3" fontId="70" fillId="10" borderId="644" xfId="1" applyNumberFormat="1" applyFont="1" applyFill="1" applyBorder="1" applyAlignment="1" applyProtection="1"/>
    <xf numFmtId="0" fontId="140" fillId="0" borderId="641" xfId="0" applyFont="1" applyBorder="1" applyProtection="1">
      <protection locked="0"/>
    </xf>
    <xf numFmtId="0" fontId="70" fillId="10" borderId="625" xfId="0" applyFont="1" applyFill="1" applyBorder="1" applyAlignment="1">
      <alignment horizontal="left"/>
    </xf>
    <xf numFmtId="0" fontId="70" fillId="10" borderId="626" xfId="0" applyFont="1" applyFill="1" applyBorder="1" applyAlignment="1">
      <alignment horizontal="left"/>
    </xf>
    <xf numFmtId="0" fontId="70" fillId="10" borderId="626" xfId="0" applyFont="1" applyFill="1" applyBorder="1"/>
    <xf numFmtId="3" fontId="70" fillId="10" borderId="627" xfId="0" applyNumberFormat="1" applyFont="1" applyFill="1" applyBorder="1"/>
    <xf numFmtId="3" fontId="70" fillId="10" borderId="645" xfId="0" applyNumberFormat="1" applyFont="1" applyFill="1" applyBorder="1"/>
    <xf numFmtId="3" fontId="70" fillId="10" borderId="646" xfId="1" applyNumberFormat="1" applyFont="1" applyFill="1" applyBorder="1" applyAlignment="1" applyProtection="1"/>
    <xf numFmtId="0" fontId="70" fillId="6" borderId="373" xfId="0" applyFont="1" applyFill="1" applyBorder="1" applyAlignment="1">
      <alignment horizontal="left"/>
    </xf>
    <xf numFmtId="3" fontId="70" fillId="6" borderId="373" xfId="1" applyNumberFormat="1" applyFont="1" applyFill="1" applyBorder="1" applyAlignment="1" applyProtection="1"/>
    <xf numFmtId="3" fontId="70" fillId="6" borderId="372" xfId="1" applyNumberFormat="1" applyFont="1" applyFill="1" applyBorder="1" applyAlignment="1" applyProtection="1"/>
    <xf numFmtId="0" fontId="42" fillId="3" borderId="637" xfId="0" applyFont="1" applyFill="1" applyBorder="1" applyAlignment="1">
      <alignment horizontal="center" vertical="top" wrapText="1"/>
    </xf>
    <xf numFmtId="0" fontId="140" fillId="6" borderId="491" xfId="0" applyFont="1" applyFill="1" applyBorder="1" applyProtection="1">
      <protection locked="0"/>
    </xf>
    <xf numFmtId="0" fontId="70" fillId="0" borderId="373" xfId="0" applyFont="1" applyBorder="1" applyAlignment="1">
      <alignment horizontal="left"/>
    </xf>
    <xf numFmtId="3" fontId="70" fillId="0" borderId="373" xfId="1" applyNumberFormat="1" applyFont="1" applyFill="1" applyBorder="1" applyAlignment="1" applyProtection="1"/>
    <xf numFmtId="3" fontId="70" fillId="74" borderId="647" xfId="1" applyNumberFormat="1" applyFont="1" applyFill="1" applyBorder="1" applyAlignment="1" applyProtection="1"/>
    <xf numFmtId="0" fontId="4" fillId="3" borderId="648" xfId="0" applyFont="1" applyFill="1" applyBorder="1" applyAlignment="1">
      <alignment horizontal="center"/>
    </xf>
    <xf numFmtId="0" fontId="38" fillId="3" borderId="649" xfId="0" applyFont="1" applyFill="1" applyBorder="1"/>
    <xf numFmtId="1" fontId="42" fillId="3" borderId="650" xfId="15" applyNumberFormat="1" applyFont="1" applyFill="1" applyBorder="1" applyAlignment="1" applyProtection="1">
      <alignment horizontal="center"/>
    </xf>
    <xf numFmtId="1" fontId="42" fillId="3" borderId="649" xfId="15" applyNumberFormat="1" applyFont="1" applyFill="1" applyBorder="1" applyAlignment="1" applyProtection="1">
      <alignment horizontal="center"/>
    </xf>
    <xf numFmtId="0" fontId="4" fillId="0" borderId="651" xfId="0" applyFont="1" applyBorder="1" applyAlignment="1">
      <alignment horizontal="center"/>
    </xf>
    <xf numFmtId="0" fontId="4" fillId="33" borderId="652" xfId="0" applyFont="1" applyFill="1" applyBorder="1" applyAlignment="1" applyProtection="1">
      <alignment horizontal="left"/>
      <protection locked="0"/>
    </xf>
    <xf numFmtId="3" fontId="131" fillId="33" borderId="653" xfId="0" applyNumberFormat="1" applyFont="1" applyFill="1" applyBorder="1" applyProtection="1">
      <protection locked="0"/>
    </xf>
    <xf numFmtId="3" fontId="131" fillId="33" borderId="653" xfId="1" applyNumberFormat="1" applyFont="1" applyFill="1" applyBorder="1" applyAlignment="1" applyProtection="1">
      <protection locked="0"/>
    </xf>
    <xf numFmtId="3" fontId="131" fillId="33" borderId="654" xfId="1" applyNumberFormat="1" applyFont="1" applyFill="1" applyBorder="1" applyAlignment="1" applyProtection="1">
      <protection locked="0"/>
    </xf>
    <xf numFmtId="0" fontId="70" fillId="18" borderId="532" xfId="0" applyFont="1" applyFill="1" applyBorder="1" applyAlignment="1">
      <alignment horizontal="left"/>
    </xf>
    <xf numFmtId="0" fontId="70" fillId="18" borderId="394" xfId="0" applyFont="1" applyFill="1" applyBorder="1" applyAlignment="1">
      <alignment horizontal="left"/>
    </xf>
    <xf numFmtId="0" fontId="70" fillId="18" borderId="394" xfId="0" applyFont="1" applyFill="1" applyBorder="1"/>
    <xf numFmtId="3" fontId="70" fillId="10" borderId="655" xfId="1" applyNumberFormat="1" applyFont="1" applyFill="1" applyBorder="1" applyAlignment="1" applyProtection="1"/>
    <xf numFmtId="3" fontId="70" fillId="10" borderId="394" xfId="0" applyNumberFormat="1" applyFont="1" applyFill="1" applyBorder="1"/>
    <xf numFmtId="3" fontId="70" fillId="24" borderId="656" xfId="1" applyNumberFormat="1" applyFont="1" applyFill="1" applyBorder="1" applyAlignment="1" applyProtection="1"/>
    <xf numFmtId="0" fontId="4" fillId="0" borderId="551" xfId="0" applyFont="1" applyBorder="1" applyAlignment="1">
      <alignment horizontal="center"/>
    </xf>
    <xf numFmtId="0" fontId="0" fillId="0" borderId="531" xfId="0" applyBorder="1" applyAlignment="1">
      <alignment horizontal="center" vertical="center" wrapText="1"/>
    </xf>
    <xf numFmtId="0" fontId="4" fillId="3" borderId="576" xfId="0" applyFont="1" applyFill="1" applyBorder="1" applyAlignment="1">
      <alignment horizontal="center"/>
    </xf>
    <xf numFmtId="0" fontId="4" fillId="3" borderId="576" xfId="0" applyFont="1" applyFill="1" applyBorder="1" applyAlignment="1">
      <alignment horizontal="left"/>
    </xf>
    <xf numFmtId="0" fontId="38" fillId="3" borderId="606" xfId="0" applyFont="1" applyFill="1" applyBorder="1"/>
    <xf numFmtId="3" fontId="132" fillId="30" borderId="527" xfId="10" applyFont="1" applyFill="1" applyBorder="1" applyAlignment="1">
      <alignment horizontal="center"/>
    </xf>
    <xf numFmtId="3" fontId="140" fillId="0" borderId="491" xfId="10" applyFont="1" applyFill="1" applyBorder="1" applyAlignment="1" applyProtection="1">
      <protection locked="0"/>
    </xf>
    <xf numFmtId="3" fontId="140" fillId="0" borderId="528" xfId="10" applyFont="1" applyFill="1" applyBorder="1" applyAlignment="1" applyProtection="1">
      <protection locked="0"/>
    </xf>
    <xf numFmtId="0" fontId="70" fillId="10" borderId="628" xfId="0" applyFont="1" applyFill="1" applyBorder="1" applyAlignment="1">
      <alignment horizontal="left"/>
    </xf>
    <xf numFmtId="3" fontId="70" fillId="10" borderId="626" xfId="10" applyFont="1" applyFill="1" applyBorder="1" applyAlignment="1"/>
    <xf numFmtId="3" fontId="70" fillId="10" borderId="628" xfId="10" applyFont="1" applyFill="1" applyBorder="1" applyAlignment="1"/>
    <xf numFmtId="0" fontId="4" fillId="3" borderId="628" xfId="0" applyFont="1" applyFill="1" applyBorder="1" applyAlignment="1">
      <alignment horizontal="center"/>
    </xf>
    <xf numFmtId="0" fontId="4" fillId="3" borderId="628" xfId="0" applyFont="1" applyFill="1" applyBorder="1" applyAlignment="1">
      <alignment horizontal="left"/>
    </xf>
    <xf numFmtId="3" fontId="132" fillId="30" borderId="658" xfId="10" applyFont="1" applyFill="1" applyBorder="1" applyAlignment="1">
      <alignment horizontal="center"/>
    </xf>
    <xf numFmtId="3" fontId="132" fillId="30" borderId="659" xfId="10" applyFont="1" applyFill="1" applyBorder="1" applyAlignment="1">
      <alignment horizontal="center"/>
    </xf>
    <xf numFmtId="3" fontId="70" fillId="10" borderId="663" xfId="10" applyFont="1" applyFill="1" applyBorder="1" applyAlignment="1"/>
    <xf numFmtId="0" fontId="4" fillId="0" borderId="664" xfId="0" applyFont="1" applyBorder="1"/>
    <xf numFmtId="0" fontId="4" fillId="3" borderId="665" xfId="0" applyFont="1" applyFill="1" applyBorder="1" applyAlignment="1">
      <alignment horizontal="center"/>
    </xf>
    <xf numFmtId="0" fontId="4" fillId="3" borderId="637" xfId="0" applyFont="1" applyFill="1" applyBorder="1" applyAlignment="1">
      <alignment horizontal="left"/>
    </xf>
    <xf numFmtId="0" fontId="38" fillId="3" borderId="611" xfId="0" applyFont="1" applyFill="1" applyBorder="1"/>
    <xf numFmtId="0" fontId="70" fillId="10" borderId="666" xfId="0" applyFont="1" applyFill="1" applyBorder="1"/>
    <xf numFmtId="3" fontId="70" fillId="10" borderId="644" xfId="10" applyFont="1" applyFill="1" applyBorder="1" applyAlignment="1"/>
    <xf numFmtId="0" fontId="70" fillId="74" borderId="532" xfId="0" applyFont="1" applyFill="1" applyBorder="1"/>
    <xf numFmtId="0" fontId="70" fillId="74" borderId="394" xfId="0" applyFont="1" applyFill="1" applyBorder="1" applyAlignment="1">
      <alignment horizontal="left"/>
    </xf>
    <xf numFmtId="0" fontId="70" fillId="74" borderId="394" xfId="0" applyFont="1" applyFill="1" applyBorder="1"/>
    <xf numFmtId="3" fontId="70" fillId="74" borderId="549" xfId="0" applyNumberFormat="1" applyFont="1" applyFill="1" applyBorder="1"/>
    <xf numFmtId="0" fontId="0" fillId="0" borderId="531" xfId="0" applyBorder="1" applyAlignment="1">
      <alignment horizontal="center" wrapText="1"/>
    </xf>
    <xf numFmtId="3" fontId="132" fillId="30" borderId="507" xfId="10" applyFont="1" applyFill="1" applyBorder="1" applyAlignment="1">
      <alignment horizontal="center"/>
    </xf>
    <xf numFmtId="10" fontId="4" fillId="33" borderId="629" xfId="0" applyNumberFormat="1" applyFont="1" applyFill="1" applyBorder="1" applyProtection="1">
      <protection locked="0"/>
    </xf>
    <xf numFmtId="3" fontId="4" fillId="0" borderId="624" xfId="1" applyNumberFormat="1" applyFont="1" applyBorder="1" applyProtection="1"/>
    <xf numFmtId="0" fontId="4" fillId="7" borderId="624" xfId="0" applyFont="1" applyFill="1" applyBorder="1"/>
    <xf numFmtId="0" fontId="0" fillId="0" borderId="627" xfId="0" applyBorder="1"/>
    <xf numFmtId="3" fontId="70" fillId="10" borderId="622" xfId="1" applyNumberFormat="1" applyFont="1" applyFill="1" applyBorder="1" applyAlignment="1" applyProtection="1"/>
    <xf numFmtId="10" fontId="4" fillId="33" borderId="629" xfId="0" applyNumberFormat="1" applyFont="1" applyFill="1" applyBorder="1"/>
    <xf numFmtId="3" fontId="140" fillId="7" borderId="491" xfId="1" applyNumberFormat="1" applyFont="1" applyFill="1" applyBorder="1" applyAlignment="1" applyProtection="1"/>
    <xf numFmtId="3" fontId="140" fillId="7" borderId="491" xfId="10" applyFont="1" applyFill="1" applyBorder="1" applyAlignment="1"/>
    <xf numFmtId="3" fontId="140" fillId="7" borderId="528" xfId="10" applyFont="1" applyFill="1" applyBorder="1" applyAlignment="1"/>
    <xf numFmtId="3" fontId="101" fillId="7" borderId="638" xfId="10" applyFont="1" applyFill="1" applyBorder="1" applyAlignment="1"/>
    <xf numFmtId="3" fontId="101" fillId="7" borderId="527" xfId="10" applyFont="1" applyFill="1" applyBorder="1" applyAlignment="1"/>
    <xf numFmtId="3" fontId="101" fillId="7" borderId="491" xfId="10" applyFont="1" applyFill="1" applyBorder="1" applyAlignment="1"/>
    <xf numFmtId="3" fontId="70" fillId="10" borderId="622" xfId="10" applyFont="1" applyFill="1" applyBorder="1" applyAlignment="1"/>
    <xf numFmtId="3" fontId="70" fillId="10" borderId="623" xfId="10" applyFont="1" applyFill="1" applyBorder="1" applyAlignment="1"/>
    <xf numFmtId="0" fontId="70" fillId="10" borderId="667" xfId="0" applyFont="1" applyFill="1" applyBorder="1"/>
    <xf numFmtId="0" fontId="64" fillId="18" borderId="668" xfId="0" applyFont="1" applyFill="1" applyBorder="1"/>
    <xf numFmtId="0" fontId="64" fillId="18" borderId="644" xfId="0" applyFont="1" applyFill="1" applyBorder="1" applyAlignment="1">
      <alignment horizontal="left"/>
    </xf>
    <xf numFmtId="3" fontId="70" fillId="18" borderId="644" xfId="10" applyFont="1" applyFill="1" applyBorder="1" applyAlignment="1"/>
    <xf numFmtId="3" fontId="70" fillId="10" borderId="669" xfId="10" applyFont="1" applyFill="1" applyBorder="1" applyAlignment="1"/>
    <xf numFmtId="3" fontId="70" fillId="10" borderId="670" xfId="10" applyFont="1" applyFill="1" applyBorder="1" applyAlignment="1"/>
    <xf numFmtId="3" fontId="4" fillId="3" borderId="673" xfId="15" applyFont="1" applyFill="1" applyBorder="1" applyAlignment="1" applyProtection="1">
      <alignment horizontal="center"/>
    </xf>
    <xf numFmtId="3" fontId="4" fillId="3" borderId="674" xfId="15" applyFont="1" applyFill="1" applyBorder="1" applyAlignment="1" applyProtection="1">
      <alignment horizontal="left"/>
    </xf>
    <xf numFmtId="3" fontId="38" fillId="3" borderId="675" xfId="15" applyFont="1" applyFill="1" applyBorder="1" applyAlignment="1" applyProtection="1"/>
    <xf numFmtId="3" fontId="4" fillId="0" borderId="676" xfId="15" applyFont="1" applyFill="1" applyBorder="1" applyAlignment="1" applyProtection="1">
      <alignment horizontal="center"/>
    </xf>
    <xf numFmtId="3" fontId="4" fillId="33" borderId="677" xfId="15" applyFont="1" applyFill="1" applyBorder="1" applyAlignment="1" applyProtection="1">
      <alignment horizontal="left"/>
      <protection locked="0"/>
    </xf>
    <xf numFmtId="3" fontId="131" fillId="33" borderId="630" xfId="0" applyNumberFormat="1" applyFont="1" applyFill="1" applyBorder="1" applyProtection="1">
      <protection locked="0"/>
    </xf>
    <xf numFmtId="3" fontId="64" fillId="18" borderId="678" xfId="15" applyFont="1" applyFill="1" applyBorder="1" applyAlignment="1" applyProtection="1">
      <alignment horizontal="center"/>
    </xf>
    <xf numFmtId="3" fontId="64" fillId="18" borderId="679" xfId="15" applyFont="1" applyFill="1" applyBorder="1" applyAlignment="1" applyProtection="1">
      <alignment horizontal="left"/>
    </xf>
    <xf numFmtId="3" fontId="64" fillId="24" borderId="680" xfId="15" applyFont="1" applyFill="1" applyBorder="1" applyAlignment="1" applyProtection="1"/>
    <xf numFmtId="3" fontId="70" fillId="10" borderId="681" xfId="1" applyNumberFormat="1" applyFont="1" applyFill="1" applyBorder="1" applyAlignment="1" applyProtection="1"/>
    <xf numFmtId="10" fontId="70" fillId="10" borderId="629" xfId="0" applyNumberFormat="1" applyFont="1" applyFill="1" applyBorder="1"/>
    <xf numFmtId="3" fontId="70" fillId="10" borderId="624" xfId="0" applyNumberFormat="1" applyFont="1" applyFill="1" applyBorder="1"/>
    <xf numFmtId="0" fontId="4" fillId="3" borderId="682" xfId="0" applyFont="1" applyFill="1" applyBorder="1" applyAlignment="1">
      <alignment horizontal="center"/>
    </xf>
    <xf numFmtId="3" fontId="4" fillId="3" borderId="683" xfId="0" applyNumberFormat="1" applyFont="1" applyFill="1" applyBorder="1" applyAlignment="1">
      <alignment horizontal="left"/>
    </xf>
    <xf numFmtId="0" fontId="38" fillId="3" borderId="684" xfId="0" applyFont="1" applyFill="1" applyBorder="1"/>
    <xf numFmtId="1" fontId="42" fillId="3" borderId="685" xfId="15" applyNumberFormat="1" applyFont="1" applyFill="1" applyBorder="1" applyAlignment="1" applyProtection="1">
      <alignment horizontal="center"/>
    </xf>
    <xf numFmtId="1" fontId="42" fillId="3" borderId="684" xfId="15" applyNumberFormat="1" applyFont="1" applyFill="1" applyBorder="1" applyAlignment="1" applyProtection="1">
      <alignment horizontal="center"/>
    </xf>
    <xf numFmtId="3" fontId="132" fillId="11" borderId="491" xfId="10" applyFont="1" applyFill="1" applyBorder="1" applyAlignment="1">
      <alignment horizontal="center"/>
    </xf>
    <xf numFmtId="0" fontId="4" fillId="0" borderId="676" xfId="0" applyFont="1" applyBorder="1" applyAlignment="1">
      <alignment horizontal="center"/>
    </xf>
    <xf numFmtId="0" fontId="4" fillId="33" borderId="677" xfId="0" applyFont="1" applyFill="1" applyBorder="1" applyAlignment="1" applyProtection="1">
      <alignment horizontal="left"/>
      <protection locked="0"/>
    </xf>
    <xf numFmtId="3" fontId="135" fillId="33" borderId="630" xfId="1" applyNumberFormat="1" applyFont="1" applyFill="1" applyBorder="1" applyAlignment="1" applyProtection="1">
      <protection locked="0"/>
    </xf>
    <xf numFmtId="3" fontId="43" fillId="7" borderId="631" xfId="1" applyNumberFormat="1" applyFont="1" applyFill="1" applyBorder="1" applyAlignment="1" applyProtection="1"/>
    <xf numFmtId="0" fontId="64" fillId="18" borderId="625" xfId="0" applyFont="1" applyFill="1" applyBorder="1" applyAlignment="1">
      <alignment horizontal="left"/>
    </xf>
    <xf numFmtId="0" fontId="64" fillId="18" borderId="626" xfId="0" applyFont="1" applyFill="1" applyBorder="1" applyAlignment="1">
      <alignment horizontal="left"/>
    </xf>
    <xf numFmtId="3" fontId="64" fillId="18" borderId="667" xfId="1" applyNumberFormat="1" applyFont="1" applyFill="1" applyBorder="1" applyAlignment="1" applyProtection="1"/>
    <xf numFmtId="3" fontId="4" fillId="3" borderId="626" xfId="0" applyNumberFormat="1" applyFont="1" applyFill="1" applyBorder="1" applyAlignment="1">
      <alignment horizontal="left"/>
    </xf>
    <xf numFmtId="3" fontId="132" fillId="30" borderId="491" xfId="10" applyFont="1" applyFill="1" applyBorder="1" applyAlignment="1">
      <alignment horizontal="center"/>
    </xf>
    <xf numFmtId="3" fontId="43" fillId="33" borderId="630" xfId="1" applyNumberFormat="1" applyFont="1" applyFill="1" applyBorder="1" applyAlignment="1" applyProtection="1">
      <protection locked="0"/>
    </xf>
    <xf numFmtId="0" fontId="64" fillId="18" borderId="622" xfId="0" applyFont="1" applyFill="1" applyBorder="1" applyAlignment="1">
      <alignment horizontal="left"/>
    </xf>
    <xf numFmtId="3" fontId="64" fillId="18" borderId="622" xfId="1" applyNumberFormat="1" applyFont="1" applyFill="1" applyBorder="1" applyAlignment="1" applyProtection="1"/>
    <xf numFmtId="10" fontId="101" fillId="33" borderId="629" xfId="0" applyNumberFormat="1" applyFont="1" applyFill="1" applyBorder="1" applyProtection="1">
      <protection locked="0"/>
    </xf>
    <xf numFmtId="0" fontId="64" fillId="18" borderId="621" xfId="0" applyFont="1" applyFill="1" applyBorder="1" applyAlignment="1">
      <alignment horizontal="left"/>
    </xf>
    <xf numFmtId="0" fontId="70" fillId="24" borderId="686" xfId="0" applyFont="1" applyFill="1" applyBorder="1"/>
    <xf numFmtId="0" fontId="70" fillId="24" borderId="687" xfId="0" applyFont="1" applyFill="1" applyBorder="1" applyAlignment="1">
      <alignment horizontal="left"/>
    </xf>
    <xf numFmtId="3" fontId="70" fillId="24" borderId="687" xfId="1" applyNumberFormat="1" applyFont="1" applyFill="1" applyBorder="1" applyAlignment="1" applyProtection="1"/>
    <xf numFmtId="3" fontId="70" fillId="24" borderId="688" xfId="1" applyNumberFormat="1" applyFont="1" applyFill="1" applyBorder="1" applyAlignment="1" applyProtection="1"/>
    <xf numFmtId="3" fontId="70" fillId="10" borderId="689" xfId="1" applyNumberFormat="1" applyFont="1" applyFill="1" applyBorder="1" applyAlignment="1" applyProtection="1"/>
    <xf numFmtId="3" fontId="4" fillId="3" borderId="675" xfId="15" applyFont="1" applyFill="1" applyBorder="1" applyAlignment="1" applyProtection="1">
      <alignment horizontal="left"/>
    </xf>
    <xf numFmtId="3" fontId="38" fillId="3" borderId="690" xfId="15" applyFont="1" applyFill="1" applyBorder="1" applyAlignment="1" applyProtection="1"/>
    <xf numFmtId="3" fontId="132" fillId="30" borderId="691" xfId="10" applyFont="1" applyFill="1" applyBorder="1" applyAlignment="1">
      <alignment horizontal="center"/>
    </xf>
    <xf numFmtId="0" fontId="64" fillId="18" borderId="686" xfId="0" applyFont="1" applyFill="1" applyBorder="1" applyAlignment="1">
      <alignment horizontal="left"/>
    </xf>
    <xf numFmtId="0" fontId="64" fillId="18" borderId="687" xfId="0" applyFont="1" applyFill="1" applyBorder="1" applyAlignment="1">
      <alignment horizontal="left"/>
    </xf>
    <xf numFmtId="3" fontId="64" fillId="18" borderId="688" xfId="15" applyFont="1" applyFill="1" applyBorder="1" applyAlignment="1" applyProtection="1"/>
    <xf numFmtId="3" fontId="70" fillId="10" borderId="692" xfId="1" applyNumberFormat="1" applyFont="1" applyFill="1" applyBorder="1" applyAlignment="1" applyProtection="1"/>
    <xf numFmtId="1" fontId="42" fillId="3" borderId="693" xfId="15" applyNumberFormat="1" applyFont="1" applyFill="1" applyBorder="1" applyAlignment="1" applyProtection="1">
      <alignment horizontal="center"/>
    </xf>
    <xf numFmtId="0" fontId="64" fillId="18" borderId="642" xfId="0" applyFont="1" applyFill="1" applyBorder="1" applyAlignment="1">
      <alignment horizontal="left"/>
    </xf>
    <xf numFmtId="0" fontId="0" fillId="3" borderId="694" xfId="0" applyFill="1" applyBorder="1" applyAlignment="1">
      <alignment horizontal="center"/>
    </xf>
    <xf numFmtId="0" fontId="0" fillId="3" borderId="685" xfId="0" applyFill="1" applyBorder="1" applyAlignment="1">
      <alignment horizontal="left"/>
    </xf>
    <xf numFmtId="0" fontId="0" fillId="3" borderId="685" xfId="0" applyFill="1" applyBorder="1" applyAlignment="1">
      <alignment horizontal="center"/>
    </xf>
    <xf numFmtId="175" fontId="0" fillId="3" borderId="685" xfId="0" applyNumberFormat="1" applyFill="1" applyBorder="1" applyAlignment="1">
      <alignment horizontal="center"/>
    </xf>
    <xf numFmtId="0" fontId="0" fillId="3" borderId="685" xfId="0" applyFill="1" applyBorder="1" applyAlignment="1">
      <alignment horizontal="center" vertical="top" wrapText="1"/>
    </xf>
    <xf numFmtId="0" fontId="0" fillId="3" borderId="695" xfId="0" applyFill="1" applyBorder="1" applyAlignment="1">
      <alignment horizontal="center" vertical="center" wrapText="1"/>
    </xf>
    <xf numFmtId="0" fontId="0" fillId="3" borderId="685" xfId="0" applyFill="1" applyBorder="1" applyAlignment="1">
      <alignment horizontal="center" wrapText="1"/>
    </xf>
    <xf numFmtId="0" fontId="0" fillId="3" borderId="684" xfId="0" applyFill="1" applyBorder="1" applyAlignment="1">
      <alignment horizontal="center" wrapText="1"/>
    </xf>
    <xf numFmtId="0" fontId="170" fillId="11" borderId="696" xfId="0" applyFont="1" applyFill="1" applyBorder="1" applyAlignment="1">
      <alignment horizontal="center" vertical="top" wrapText="1"/>
    </xf>
    <xf numFmtId="0" fontId="170" fillId="11" borderId="697" xfId="0" applyFont="1" applyFill="1" applyBorder="1" applyAlignment="1">
      <alignment horizontal="center" vertical="top" wrapText="1"/>
    </xf>
    <xf numFmtId="0" fontId="34" fillId="33" borderId="630" xfId="0" applyFont="1" applyFill="1" applyBorder="1" applyProtection="1">
      <protection locked="0"/>
    </xf>
    <xf numFmtId="4" fontId="34" fillId="33" borderId="630" xfId="0" applyNumberFormat="1" applyFont="1" applyFill="1" applyBorder="1" applyProtection="1">
      <protection locked="0"/>
    </xf>
    <xf numFmtId="3" fontId="34" fillId="33" borderId="630" xfId="1" applyNumberFormat="1" applyFont="1" applyFill="1" applyBorder="1" applyAlignment="1" applyProtection="1">
      <alignment horizontal="right"/>
      <protection locked="0"/>
    </xf>
    <xf numFmtId="3" fontId="34" fillId="33" borderId="698" xfId="1" applyNumberFormat="1" applyFont="1" applyFill="1" applyBorder="1" applyAlignment="1" applyProtection="1">
      <alignment horizontal="right"/>
      <protection locked="0"/>
    </xf>
    <xf numFmtId="0" fontId="0" fillId="0" borderId="545" xfId="0" applyBorder="1" applyProtection="1">
      <protection locked="0"/>
    </xf>
    <xf numFmtId="0" fontId="0" fillId="0" borderId="546" xfId="0" applyBorder="1" applyProtection="1">
      <protection locked="0"/>
    </xf>
    <xf numFmtId="0" fontId="66" fillId="10" borderId="699" xfId="0" applyFont="1" applyFill="1" applyBorder="1" applyAlignment="1">
      <alignment horizontal="left"/>
    </xf>
    <xf numFmtId="0" fontId="66" fillId="10" borderId="661" xfId="0" applyFont="1" applyFill="1" applyBorder="1"/>
    <xf numFmtId="175" fontId="66" fillId="24" borderId="661" xfId="0" applyNumberFormat="1" applyFont="1" applyFill="1" applyBorder="1"/>
    <xf numFmtId="0" fontId="66" fillId="24" borderId="661" xfId="0" applyFont="1" applyFill="1" applyBorder="1"/>
    <xf numFmtId="0" fontId="66" fillId="24" borderId="661" xfId="0" applyFont="1" applyFill="1" applyBorder="1" applyAlignment="1">
      <alignment horizontal="center"/>
    </xf>
    <xf numFmtId="3" fontId="66" fillId="24" borderId="700" xfId="1" applyNumberFormat="1" applyFont="1" applyFill="1" applyBorder="1" applyAlignment="1" applyProtection="1"/>
    <xf numFmtId="3" fontId="66" fillId="10" borderId="168" xfId="1" applyNumberFormat="1" applyFont="1" applyFill="1" applyBorder="1" applyAlignment="1" applyProtection="1"/>
    <xf numFmtId="0" fontId="170" fillId="11" borderId="545" xfId="0" applyFont="1" applyFill="1" applyBorder="1" applyAlignment="1">
      <alignment horizontal="center" vertical="top" wrapText="1"/>
    </xf>
    <xf numFmtId="0" fontId="170" fillId="11" borderId="546" xfId="0" applyFont="1" applyFill="1" applyBorder="1" applyAlignment="1">
      <alignment horizontal="center" vertical="top" wrapText="1"/>
    </xf>
    <xf numFmtId="0" fontId="66" fillId="10" borderId="701" xfId="0" applyFont="1" applyFill="1" applyBorder="1" applyAlignment="1">
      <alignment horizontal="left"/>
    </xf>
    <xf numFmtId="0" fontId="66" fillId="10" borderId="622" xfId="0" applyFont="1" applyFill="1" applyBorder="1"/>
    <xf numFmtId="3" fontId="66" fillId="10" borderId="702" xfId="1" applyNumberFormat="1" applyFont="1" applyFill="1" applyBorder="1" applyAlignment="1" applyProtection="1"/>
    <xf numFmtId="175" fontId="66" fillId="24" borderId="622" xfId="0" applyNumberFormat="1" applyFont="1" applyFill="1" applyBorder="1"/>
    <xf numFmtId="0" fontId="66" fillId="24" borderId="622" xfId="0" applyFont="1" applyFill="1" applyBorder="1"/>
    <xf numFmtId="0" fontId="66" fillId="24" borderId="622" xfId="0" applyFont="1" applyFill="1" applyBorder="1" applyAlignment="1">
      <alignment horizontal="center"/>
    </xf>
    <xf numFmtId="3" fontId="66" fillId="10" borderId="630" xfId="1" applyNumberFormat="1" applyFont="1" applyFill="1" applyBorder="1" applyAlignment="1" applyProtection="1"/>
    <xf numFmtId="3" fontId="66" fillId="10" borderId="703" xfId="1" applyNumberFormat="1" applyFont="1" applyFill="1" applyBorder="1" applyAlignment="1" applyProtection="1"/>
    <xf numFmtId="3" fontId="66" fillId="10" borderId="545" xfId="1" applyNumberFormat="1" applyFont="1" applyFill="1" applyBorder="1" applyAlignment="1" applyProtection="1"/>
    <xf numFmtId="3" fontId="66" fillId="10" borderId="546" xfId="1" applyNumberFormat="1" applyFont="1" applyFill="1" applyBorder="1" applyAlignment="1" applyProtection="1"/>
    <xf numFmtId="38" fontId="0" fillId="0" borderId="545" xfId="3" applyNumberFormat="1" applyFont="1" applyFill="1" applyBorder="1" applyAlignment="1" applyProtection="1">
      <protection locked="0"/>
    </xf>
    <xf numFmtId="38" fontId="0" fillId="0" borderId="546" xfId="20" applyNumberFormat="1" applyFont="1" applyBorder="1" applyProtection="1">
      <protection locked="0"/>
    </xf>
    <xf numFmtId="3" fontId="66" fillId="10" borderId="627" xfId="1" applyNumberFormat="1" applyFont="1" applyFill="1" applyBorder="1" applyAlignment="1" applyProtection="1"/>
    <xf numFmtId="0" fontId="66" fillId="10" borderId="704" xfId="0" applyFont="1" applyFill="1" applyBorder="1" applyAlignment="1">
      <alignment horizontal="left"/>
    </xf>
    <xf numFmtId="0" fontId="66" fillId="10" borderId="705" xfId="0" applyFont="1" applyFill="1" applyBorder="1"/>
    <xf numFmtId="3" fontId="66" fillId="10" borderId="705" xfId="1" applyNumberFormat="1" applyFont="1" applyFill="1" applyBorder="1" applyAlignment="1" applyProtection="1"/>
    <xf numFmtId="175" fontId="66" fillId="24" borderId="705" xfId="0" applyNumberFormat="1" applyFont="1" applyFill="1" applyBorder="1"/>
    <xf numFmtId="0" fontId="66" fillId="24" borderId="705" xfId="0" applyFont="1" applyFill="1" applyBorder="1"/>
    <xf numFmtId="0" fontId="66" fillId="24" borderId="705" xfId="0" applyFont="1" applyFill="1" applyBorder="1" applyAlignment="1">
      <alignment horizontal="center"/>
    </xf>
    <xf numFmtId="3" fontId="66" fillId="10" borderId="706" xfId="1" applyNumberFormat="1" applyFont="1" applyFill="1" applyBorder="1" applyAlignment="1" applyProtection="1"/>
    <xf numFmtId="3" fontId="66" fillId="10" borderId="460" xfId="1" applyNumberFormat="1" applyFont="1" applyFill="1" applyBorder="1" applyAlignment="1" applyProtection="1"/>
    <xf numFmtId="3" fontId="66" fillId="10" borderId="707" xfId="1" applyNumberFormat="1" applyFont="1" applyFill="1" applyBorder="1" applyAlignment="1" applyProtection="1"/>
    <xf numFmtId="0" fontId="68" fillId="18" borderId="679" xfId="0" applyFont="1" applyFill="1" applyBorder="1" applyAlignment="1">
      <alignment horizontal="left"/>
    </xf>
    <xf numFmtId="0" fontId="66" fillId="18" borderId="708" xfId="0" applyFont="1" applyFill="1" applyBorder="1"/>
    <xf numFmtId="3" fontId="66" fillId="18" borderId="709" xfId="1" applyNumberFormat="1" applyFont="1" applyFill="1" applyBorder="1" applyAlignment="1" applyProtection="1"/>
    <xf numFmtId="175" fontId="66" fillId="18" borderId="710" xfId="0" applyNumberFormat="1" applyFont="1" applyFill="1" applyBorder="1"/>
    <xf numFmtId="0" fontId="66" fillId="18" borderId="710" xfId="0" applyFont="1" applyFill="1" applyBorder="1"/>
    <xf numFmtId="0" fontId="66" fillId="18" borderId="711" xfId="0" applyFont="1" applyFill="1" applyBorder="1" applyAlignment="1">
      <alignment horizontal="center"/>
    </xf>
    <xf numFmtId="175" fontId="66" fillId="18" borderId="709" xfId="0" applyNumberFormat="1" applyFont="1" applyFill="1" applyBorder="1" applyAlignment="1">
      <alignment horizontal="right"/>
    </xf>
    <xf numFmtId="3" fontId="68" fillId="10" borderId="712" xfId="1" applyNumberFormat="1" applyFont="1" applyFill="1" applyBorder="1" applyAlignment="1" applyProtection="1"/>
    <xf numFmtId="3" fontId="66" fillId="24" borderId="713" xfId="1" applyNumberFormat="1" applyFont="1" applyFill="1" applyBorder="1" applyAlignment="1" applyProtection="1"/>
    <xf numFmtId="0" fontId="66" fillId="18" borderId="699" xfId="0" applyFont="1" applyFill="1" applyBorder="1"/>
    <xf numFmtId="0" fontId="66" fillId="18" borderId="661" xfId="0" applyFont="1" applyFill="1" applyBorder="1"/>
    <xf numFmtId="0" fontId="0" fillId="3" borderId="714" xfId="0" applyFill="1" applyBorder="1" applyAlignment="1">
      <alignment vertical="top" wrapText="1"/>
    </xf>
    <xf numFmtId="0" fontId="0" fillId="16" borderId="715" xfId="0" applyFill="1" applyBorder="1" applyAlignment="1">
      <alignment vertical="top" wrapText="1"/>
    </xf>
    <xf numFmtId="1" fontId="0" fillId="16" borderId="716" xfId="15" applyNumberFormat="1" applyFont="1" applyFill="1" applyBorder="1" applyAlignment="1" applyProtection="1">
      <alignment horizontal="center" vertical="top" wrapText="1"/>
    </xf>
    <xf numFmtId="1" fontId="0" fillId="16" borderId="717" xfId="15" applyNumberFormat="1" applyFont="1" applyFill="1" applyBorder="1" applyAlignment="1" applyProtection="1">
      <alignment horizontal="center" vertical="top" wrapText="1"/>
    </xf>
    <xf numFmtId="3" fontId="68" fillId="10" borderId="718" xfId="0" applyNumberFormat="1" applyFont="1" applyFill="1" applyBorder="1"/>
    <xf numFmtId="0" fontId="0" fillId="0" borderId="281" xfId="0" applyBorder="1"/>
    <xf numFmtId="0" fontId="91" fillId="0" borderId="719" xfId="58" applyFont="1" applyBorder="1" applyAlignment="1">
      <alignment horizontal="centerContinuous"/>
    </xf>
    <xf numFmtId="0" fontId="91" fillId="0" borderId="423" xfId="58" applyFont="1" applyBorder="1" applyAlignment="1">
      <alignment horizontal="centerContinuous"/>
    </xf>
    <xf numFmtId="0" fontId="91" fillId="0" borderId="424" xfId="58" applyFont="1" applyBorder="1" applyAlignment="1">
      <alignment horizontal="centerContinuous"/>
    </xf>
    <xf numFmtId="0" fontId="2" fillId="0" borderId="718" xfId="0" applyFont="1" applyBorder="1"/>
    <xf numFmtId="0" fontId="2" fillId="0" borderId="718" xfId="0" applyFont="1" applyBorder="1" applyAlignment="1">
      <alignment horizontal="center"/>
    </xf>
    <xf numFmtId="1" fontId="2" fillId="0" borderId="718" xfId="0" applyNumberFormat="1" applyFont="1" applyBorder="1" applyAlignment="1">
      <alignment horizontal="center"/>
    </xf>
    <xf numFmtId="0" fontId="0" fillId="0" borderId="718" xfId="0" applyBorder="1"/>
    <xf numFmtId="0" fontId="0" fillId="0" borderId="718" xfId="0" applyBorder="1" applyAlignment="1">
      <alignment horizontal="center"/>
    </xf>
    <xf numFmtId="1" fontId="0" fillId="0" borderId="718" xfId="0" applyNumberFormat="1" applyBorder="1" applyAlignment="1">
      <alignment horizontal="center"/>
    </xf>
    <xf numFmtId="0" fontId="83" fillId="0" borderId="720" xfId="58" applyFont="1" applyBorder="1" applyAlignment="1">
      <alignment horizontal="center"/>
    </xf>
    <xf numFmtId="0" fontId="83" fillId="0" borderId="721" xfId="58" applyFont="1" applyBorder="1" applyAlignment="1">
      <alignment horizontal="center"/>
    </xf>
    <xf numFmtId="3" fontId="4" fillId="0" borderId="722" xfId="48" applyFont="1" applyBorder="1" applyAlignment="1">
      <alignment horizontal="center"/>
    </xf>
    <xf numFmtId="0" fontId="2" fillId="14" borderId="723" xfId="0" applyFont="1" applyFill="1" applyBorder="1"/>
    <xf numFmtId="0" fontId="17" fillId="14" borderId="724" xfId="0" applyFont="1" applyFill="1" applyBorder="1" applyAlignment="1">
      <alignment horizontal="center"/>
    </xf>
    <xf numFmtId="0" fontId="0" fillId="7" borderId="725" xfId="0" applyFill="1" applyBorder="1"/>
    <xf numFmtId="3" fontId="16" fillId="7" borderId="627" xfId="0" applyNumberFormat="1" applyFont="1" applyFill="1" applyBorder="1"/>
    <xf numFmtId="0" fontId="0" fillId="7" borderId="726" xfId="0" applyFill="1" applyBorder="1"/>
    <xf numFmtId="3" fontId="16" fillId="7" borderId="727" xfId="0" applyNumberFormat="1" applyFont="1" applyFill="1" applyBorder="1"/>
    <xf numFmtId="0" fontId="0" fillId="7" borderId="236" xfId="0" applyFill="1" applyBorder="1"/>
    <xf numFmtId="3" fontId="0" fillId="0" borderId="728" xfId="15" applyFont="1" applyFill="1" applyBorder="1" applyAlignment="1" applyProtection="1">
      <alignment horizontal="center"/>
    </xf>
    <xf numFmtId="0" fontId="15" fillId="0" borderId="729" xfId="0" applyFont="1" applyBorder="1" applyAlignment="1" applyProtection="1">
      <alignment horizontal="right" vertical="top" wrapText="1" readingOrder="1"/>
      <protection locked="0"/>
    </xf>
    <xf numFmtId="0" fontId="151" fillId="33" borderId="199" xfId="45" applyFont="1" applyFill="1" applyBorder="1" applyAlignment="1" applyProtection="1">
      <alignment horizontal="center"/>
      <protection locked="0"/>
    </xf>
    <xf numFmtId="0" fontId="97" fillId="33" borderId="731" xfId="45" applyFont="1" applyFill="1" applyBorder="1" applyAlignment="1" applyProtection="1">
      <alignment horizontal="center"/>
      <protection locked="0"/>
    </xf>
    <xf numFmtId="0" fontId="97" fillId="33" borderId="732" xfId="45" applyFont="1" applyFill="1" applyBorder="1" applyAlignment="1" applyProtection="1">
      <alignment horizontal="center"/>
      <protection locked="0"/>
    </xf>
    <xf numFmtId="0" fontId="97" fillId="33" borderId="465" xfId="45" applyFont="1" applyFill="1" applyBorder="1" applyAlignment="1" applyProtection="1">
      <alignment horizontal="center"/>
      <protection locked="0"/>
    </xf>
    <xf numFmtId="3" fontId="97" fillId="7" borderId="719" xfId="46" applyNumberFormat="1" applyFont="1" applyFill="1" applyBorder="1" applyAlignment="1" applyProtection="1"/>
    <xf numFmtId="0" fontId="97" fillId="33" borderId="443" xfId="45" applyFont="1" applyFill="1" applyBorder="1" applyAlignment="1" applyProtection="1">
      <alignment horizontal="center"/>
      <protection locked="0"/>
    </xf>
    <xf numFmtId="0" fontId="97" fillId="33" borderId="455" xfId="45" applyFont="1" applyFill="1" applyBorder="1" applyAlignment="1" applyProtection="1">
      <alignment horizontal="center" wrapText="1"/>
      <protection locked="0"/>
    </xf>
    <xf numFmtId="3" fontId="97" fillId="7" borderId="733" xfId="46" applyNumberFormat="1" applyFont="1" applyFill="1" applyBorder="1" applyAlignment="1" applyProtection="1"/>
    <xf numFmtId="0" fontId="151" fillId="33" borderId="734" xfId="45" applyFont="1" applyFill="1" applyBorder="1" applyAlignment="1" applyProtection="1">
      <alignment horizontal="center"/>
      <protection locked="0"/>
    </xf>
    <xf numFmtId="0" fontId="97" fillId="33" borderId="537" xfId="45" applyFont="1" applyFill="1" applyBorder="1" applyAlignment="1" applyProtection="1">
      <alignment horizontal="center" wrapText="1"/>
      <protection locked="0"/>
    </xf>
    <xf numFmtId="0" fontId="97" fillId="33" borderId="538" xfId="45" applyFont="1" applyFill="1" applyBorder="1" applyAlignment="1" applyProtection="1">
      <alignment horizontal="center" wrapText="1"/>
      <protection locked="0"/>
    </xf>
    <xf numFmtId="0" fontId="97" fillId="43" borderId="537" xfId="45" applyFont="1" applyFill="1" applyBorder="1" applyAlignment="1">
      <alignment horizontal="center"/>
    </xf>
    <xf numFmtId="0" fontId="97" fillId="43" borderId="538" xfId="45" applyFont="1" applyFill="1" applyBorder="1" applyAlignment="1">
      <alignment horizontal="center"/>
    </xf>
    <xf numFmtId="0" fontId="97" fillId="33" borderId="537" xfId="45" applyFont="1" applyFill="1" applyBorder="1" applyAlignment="1" applyProtection="1">
      <alignment horizontal="center"/>
      <protection locked="0"/>
    </xf>
    <xf numFmtId="0" fontId="97" fillId="33" borderId="538" xfId="45" applyFont="1" applyFill="1" applyBorder="1" applyAlignment="1" applyProtection="1">
      <alignment horizontal="center"/>
      <protection locked="0"/>
    </xf>
    <xf numFmtId="0" fontId="97" fillId="33" borderId="735" xfId="45" applyFont="1" applyFill="1" applyBorder="1" applyAlignment="1" applyProtection="1">
      <alignment horizontal="center"/>
      <protection locked="0"/>
    </xf>
    <xf numFmtId="0" fontId="97" fillId="7" borderId="734" xfId="45" applyFont="1" applyFill="1" applyBorder="1" applyAlignment="1">
      <alignment horizontal="center"/>
    </xf>
    <xf numFmtId="3" fontId="97" fillId="7" borderId="736" xfId="46" applyNumberFormat="1" applyFont="1" applyFill="1" applyBorder="1" applyAlignment="1" applyProtection="1"/>
    <xf numFmtId="3" fontId="97" fillId="7" borderId="737" xfId="46" applyNumberFormat="1" applyFont="1" applyFill="1" applyBorder="1" applyAlignment="1" applyProtection="1"/>
    <xf numFmtId="4" fontId="97" fillId="33" borderId="740" xfId="45" applyNumberFormat="1" applyFont="1" applyFill="1" applyBorder="1" applyAlignment="1" applyProtection="1">
      <alignment horizontal="center"/>
      <protection locked="0"/>
    </xf>
    <xf numFmtId="0" fontId="151" fillId="33" borderId="734" xfId="45" applyFont="1" applyFill="1" applyBorder="1" applyAlignment="1" applyProtection="1">
      <alignment horizontal="center" wrapText="1"/>
      <protection locked="0"/>
    </xf>
    <xf numFmtId="4" fontId="97" fillId="30" borderId="740" xfId="1" applyFont="1" applyFill="1" applyBorder="1" applyAlignment="1" applyProtection="1">
      <alignment horizontal="center"/>
    </xf>
    <xf numFmtId="4" fontId="155" fillId="10" borderId="740" xfId="1" applyFont="1" applyFill="1" applyBorder="1" applyAlignment="1" applyProtection="1"/>
    <xf numFmtId="3" fontId="97" fillId="7" borderId="741" xfId="46" applyNumberFormat="1" applyFont="1" applyFill="1" applyBorder="1" applyAlignment="1">
      <alignment horizontal="right"/>
    </xf>
    <xf numFmtId="0" fontId="151" fillId="33" borderId="191" xfId="45" applyFont="1" applyFill="1" applyBorder="1" applyAlignment="1" applyProtection="1">
      <alignment horizontal="center" wrapText="1"/>
      <protection locked="0"/>
    </xf>
    <xf numFmtId="0" fontId="4" fillId="0" borderId="738" xfId="0" applyFont="1" applyBorder="1"/>
    <xf numFmtId="0" fontId="70" fillId="10" borderId="738" xfId="0" applyFont="1" applyFill="1" applyBorder="1"/>
    <xf numFmtId="0" fontId="4" fillId="0" borderId="738" xfId="0" applyFont="1" applyBorder="1" applyAlignment="1">
      <alignment horizontal="right"/>
    </xf>
    <xf numFmtId="3" fontId="97" fillId="7" borderId="743" xfId="46" applyNumberFormat="1" applyFont="1" applyFill="1" applyBorder="1" applyAlignment="1"/>
    <xf numFmtId="0" fontId="87" fillId="83" borderId="0" xfId="45" applyFont="1" applyFill="1" applyAlignment="1">
      <alignment horizontal="center"/>
    </xf>
    <xf numFmtId="0" fontId="87" fillId="83" borderId="0" xfId="45" applyFont="1" applyFill="1"/>
    <xf numFmtId="0" fontId="185" fillId="83" borderId="0" xfId="45" applyFont="1" applyFill="1"/>
    <xf numFmtId="3" fontId="4" fillId="3" borderId="748" xfId="15" applyFont="1" applyFill="1" applyBorder="1" applyAlignment="1" applyProtection="1">
      <alignment horizontal="center" vertical="center" wrapText="1"/>
    </xf>
    <xf numFmtId="3" fontId="4" fillId="3" borderId="177" xfId="15" applyFont="1" applyFill="1" applyBorder="1" applyAlignment="1" applyProtection="1">
      <alignment horizontal="center" vertical="center" wrapText="1"/>
    </xf>
    <xf numFmtId="3" fontId="137" fillId="49" borderId="455" xfId="0" applyNumberFormat="1" applyFont="1" applyFill="1" applyBorder="1" applyProtection="1">
      <protection locked="0"/>
    </xf>
    <xf numFmtId="3" fontId="137" fillId="49" borderId="451" xfId="0" applyNumberFormat="1" applyFont="1" applyFill="1" applyBorder="1" applyProtection="1">
      <protection locked="0"/>
    </xf>
    <xf numFmtId="3" fontId="137" fillId="49" borderId="417" xfId="0" applyNumberFormat="1" applyFont="1" applyFill="1" applyBorder="1" applyProtection="1">
      <protection locked="0"/>
    </xf>
    <xf numFmtId="3" fontId="137" fillId="49" borderId="538" xfId="0" applyNumberFormat="1" applyFont="1" applyFill="1" applyBorder="1" applyProtection="1">
      <protection locked="0"/>
    </xf>
    <xf numFmtId="3" fontId="134" fillId="11" borderId="537" xfId="0" applyNumberFormat="1" applyFont="1" applyFill="1" applyBorder="1"/>
    <xf numFmtId="3" fontId="134" fillId="11" borderId="538" xfId="0" applyNumberFormat="1" applyFont="1" applyFill="1" applyBorder="1"/>
    <xf numFmtId="3" fontId="136" fillId="49" borderId="472" xfId="0" applyNumberFormat="1" applyFont="1" applyFill="1" applyBorder="1" applyProtection="1">
      <protection locked="0"/>
    </xf>
    <xf numFmtId="3" fontId="137" fillId="49" borderId="472" xfId="0" applyNumberFormat="1" applyFont="1" applyFill="1" applyBorder="1" applyProtection="1">
      <protection locked="0"/>
    </xf>
    <xf numFmtId="3" fontId="137" fillId="49" borderId="733" xfId="0" applyNumberFormat="1" applyFont="1" applyFill="1" applyBorder="1" applyProtection="1">
      <protection locked="0"/>
    </xf>
    <xf numFmtId="3" fontId="137" fillId="49" borderId="749" xfId="0" applyNumberFormat="1" applyFont="1" applyFill="1" applyBorder="1" applyProtection="1">
      <protection locked="0"/>
    </xf>
    <xf numFmtId="3" fontId="137" fillId="49" borderId="194" xfId="0" applyNumberFormat="1" applyFont="1" applyFill="1" applyBorder="1" applyProtection="1">
      <protection locked="0"/>
    </xf>
    <xf numFmtId="3" fontId="137" fillId="49" borderId="739" xfId="0" applyNumberFormat="1" applyFont="1" applyFill="1" applyBorder="1" applyProtection="1">
      <protection locked="0"/>
    </xf>
    <xf numFmtId="3" fontId="137" fillId="49" borderId="737" xfId="0" applyNumberFormat="1" applyFont="1" applyFill="1" applyBorder="1" applyProtection="1">
      <protection locked="0"/>
    </xf>
    <xf numFmtId="3" fontId="134" fillId="11" borderId="472" xfId="0" applyNumberFormat="1" applyFont="1" applyFill="1" applyBorder="1"/>
    <xf numFmtId="3" fontId="134" fillId="11" borderId="737" xfId="0" applyNumberFormat="1" applyFont="1" applyFill="1" applyBorder="1"/>
    <xf numFmtId="3" fontId="102" fillId="0" borderId="0" xfId="15" applyFont="1" applyFill="1" applyBorder="1" applyAlignment="1" applyProtection="1"/>
    <xf numFmtId="3" fontId="88" fillId="0" borderId="0" xfId="15" applyFont="1" applyFill="1" applyBorder="1" applyAlignment="1" applyProtection="1">
      <alignment horizontal="center"/>
    </xf>
    <xf numFmtId="3" fontId="101" fillId="0" borderId="0" xfId="15" applyFont="1" applyFill="1" applyBorder="1" applyAlignment="1" applyProtection="1">
      <alignment horizontal="center" vertical="top" wrapText="1"/>
    </xf>
    <xf numFmtId="4" fontId="101" fillId="0" borderId="0" xfId="15" applyNumberFormat="1" applyFont="1" applyFill="1" applyBorder="1" applyAlignment="1" applyProtection="1"/>
    <xf numFmtId="3" fontId="88" fillId="6" borderId="0" xfId="15" applyFont="1" applyFill="1" applyBorder="1" applyAlignment="1" applyProtection="1"/>
    <xf numFmtId="0" fontId="101" fillId="0" borderId="0" xfId="0" applyFont="1"/>
    <xf numFmtId="3" fontId="101" fillId="6" borderId="0" xfId="0" applyNumberFormat="1" applyFont="1" applyFill="1"/>
    <xf numFmtId="4" fontId="0" fillId="0" borderId="0" xfId="0" applyNumberFormat="1"/>
    <xf numFmtId="4" fontId="0" fillId="0" borderId="0" xfId="15" applyNumberFormat="1" applyFont="1" applyFill="1" applyBorder="1" applyAlignment="1" applyProtection="1"/>
    <xf numFmtId="4" fontId="38" fillId="0" borderId="0" xfId="15" applyNumberFormat="1" applyFont="1" applyFill="1" applyBorder="1" applyAlignment="1" applyProtection="1">
      <alignment horizontal="center"/>
    </xf>
    <xf numFmtId="4" fontId="4" fillId="0" borderId="0" xfId="15" applyNumberFormat="1" applyFont="1" applyFill="1" applyBorder="1" applyAlignment="1" applyProtection="1">
      <alignment horizontal="center" vertical="top" wrapText="1"/>
    </xf>
    <xf numFmtId="4" fontId="4" fillId="0" borderId="0" xfId="15" applyNumberFormat="1" applyFont="1" applyFill="1" applyBorder="1" applyAlignment="1" applyProtection="1"/>
    <xf numFmtId="4" fontId="138" fillId="0" borderId="0" xfId="15" applyNumberFormat="1" applyFont="1" applyFill="1" applyBorder="1" applyAlignment="1" applyProtection="1"/>
    <xf numFmtId="4" fontId="4" fillId="0" borderId="0" xfId="0" applyNumberFormat="1" applyFont="1"/>
    <xf numFmtId="4" fontId="4" fillId="6" borderId="738" xfId="0" applyNumberFormat="1" applyFont="1" applyFill="1" applyBorder="1"/>
    <xf numFmtId="0" fontId="97" fillId="7" borderId="751" xfId="45" applyFont="1" applyFill="1" applyBorder="1" applyAlignment="1">
      <alignment horizontal="left"/>
    </xf>
    <xf numFmtId="0" fontId="97" fillId="33" borderId="743" xfId="45" applyFont="1" applyFill="1" applyBorder="1" applyAlignment="1" applyProtection="1">
      <alignment horizontal="center"/>
      <protection locked="0"/>
    </xf>
    <xf numFmtId="4" fontId="97" fillId="33" borderId="743" xfId="46" applyNumberFormat="1" applyFont="1" applyFill="1" applyBorder="1" applyAlignment="1" applyProtection="1">
      <alignment horizontal="center"/>
      <protection locked="0"/>
    </xf>
    <xf numFmtId="176" fontId="97" fillId="7" borderId="743" xfId="45" applyNumberFormat="1" applyFont="1" applyFill="1" applyBorder="1" applyAlignment="1">
      <alignment horizontal="center"/>
    </xf>
    <xf numFmtId="0" fontId="97" fillId="7" borderId="743" xfId="45" applyFont="1" applyFill="1" applyBorder="1" applyAlignment="1">
      <alignment horizontal="center"/>
    </xf>
    <xf numFmtId="170" fontId="97" fillId="33" borderId="743" xfId="45" applyNumberFormat="1" applyFont="1" applyFill="1" applyBorder="1" applyAlignment="1" applyProtection="1">
      <alignment horizontal="center"/>
      <protection locked="0"/>
    </xf>
    <xf numFmtId="170" fontId="97" fillId="60" borderId="743" xfId="45" applyNumberFormat="1" applyFont="1" applyFill="1" applyBorder="1" applyAlignment="1" applyProtection="1">
      <alignment horizontal="center"/>
      <protection locked="0"/>
    </xf>
    <xf numFmtId="3" fontId="97" fillId="7" borderId="743" xfId="46" applyNumberFormat="1" applyFont="1" applyFill="1" applyBorder="1" applyAlignment="1">
      <alignment horizontal="right"/>
    </xf>
    <xf numFmtId="3" fontId="97" fillId="59" borderId="743" xfId="46" applyNumberFormat="1" applyFont="1" applyFill="1" applyBorder="1" applyAlignment="1">
      <alignment horizontal="right"/>
    </xf>
    <xf numFmtId="3" fontId="97" fillId="33" borderId="743" xfId="46" applyNumberFormat="1" applyFont="1" applyFill="1" applyBorder="1" applyAlignment="1" applyProtection="1">
      <protection locked="0"/>
    </xf>
    <xf numFmtId="4" fontId="97" fillId="33" borderId="743" xfId="46" applyNumberFormat="1" applyFont="1" applyFill="1" applyBorder="1" applyAlignment="1" applyProtection="1">
      <protection locked="0"/>
    </xf>
    <xf numFmtId="3" fontId="97" fillId="7" borderId="743" xfId="46" applyNumberFormat="1" applyFont="1" applyFill="1" applyBorder="1" applyAlignment="1" applyProtection="1"/>
    <xf numFmtId="2" fontId="97" fillId="33" borderId="743" xfId="46" applyNumberFormat="1" applyFont="1" applyFill="1" applyBorder="1" applyAlignment="1" applyProtection="1">
      <protection locked="0"/>
    </xf>
    <xf numFmtId="0" fontId="151" fillId="33" borderId="752" xfId="45" applyFont="1" applyFill="1" applyBorder="1" applyAlignment="1" applyProtection="1">
      <alignment horizontal="center"/>
      <protection locked="0"/>
    </xf>
    <xf numFmtId="0" fontId="151" fillId="33" borderId="753" xfId="45" applyFont="1" applyFill="1" applyBorder="1" applyAlignment="1" applyProtection="1">
      <alignment horizontal="center"/>
      <protection locked="0"/>
    </xf>
    <xf numFmtId="0" fontId="97" fillId="33" borderId="754" xfId="45" applyFont="1" applyFill="1" applyBorder="1" applyAlignment="1" applyProtection="1">
      <alignment horizontal="center" wrapText="1"/>
      <protection locked="0"/>
    </xf>
    <xf numFmtId="0" fontId="97" fillId="33" borderId="755" xfId="45" applyFont="1" applyFill="1" applyBorder="1" applyAlignment="1" applyProtection="1">
      <alignment horizontal="center" wrapText="1"/>
      <protection locked="0"/>
    </xf>
    <xf numFmtId="0" fontId="97" fillId="33" borderId="754" xfId="45" applyFont="1" applyFill="1" applyBorder="1" applyAlignment="1" applyProtection="1">
      <alignment horizontal="center"/>
      <protection locked="0"/>
    </xf>
    <xf numFmtId="0" fontId="97" fillId="33" borderId="756" xfId="45" applyFont="1" applyFill="1" applyBorder="1" applyAlignment="1" applyProtection="1">
      <alignment horizontal="center"/>
      <protection locked="0"/>
    </xf>
    <xf numFmtId="0" fontId="97" fillId="43" borderId="757" xfId="45" applyFont="1" applyFill="1" applyBorder="1" applyAlignment="1">
      <alignment horizontal="center"/>
    </xf>
    <xf numFmtId="0" fontId="97" fillId="43" borderId="758" xfId="45" applyFont="1" applyFill="1" applyBorder="1" applyAlignment="1">
      <alignment horizontal="center"/>
    </xf>
    <xf numFmtId="0" fontId="97" fillId="33" borderId="757" xfId="45" applyFont="1" applyFill="1" applyBorder="1" applyAlignment="1" applyProtection="1">
      <alignment horizontal="center"/>
      <protection locked="0"/>
    </xf>
    <xf numFmtId="0" fontId="97" fillId="33" borderId="758" xfId="45" applyFont="1" applyFill="1" applyBorder="1" applyAlignment="1" applyProtection="1">
      <alignment horizontal="center"/>
      <protection locked="0"/>
    </xf>
    <xf numFmtId="0" fontId="97" fillId="33" borderId="759" xfId="45" applyFont="1" applyFill="1" applyBorder="1" applyAlignment="1" applyProtection="1">
      <alignment horizontal="center"/>
      <protection locked="0"/>
    </xf>
    <xf numFmtId="0" fontId="97" fillId="33" borderId="760" xfId="45" applyFont="1" applyFill="1" applyBorder="1" applyAlignment="1" applyProtection="1">
      <alignment horizontal="center"/>
      <protection locked="0"/>
    </xf>
    <xf numFmtId="0" fontId="97" fillId="33" borderId="761" xfId="45" applyFont="1" applyFill="1" applyBorder="1" applyAlignment="1" applyProtection="1">
      <alignment horizontal="center"/>
      <protection locked="0"/>
    </xf>
    <xf numFmtId="0" fontId="97" fillId="33" borderId="762" xfId="45" applyFont="1" applyFill="1" applyBorder="1" applyAlignment="1" applyProtection="1">
      <alignment horizontal="center"/>
      <protection locked="0"/>
    </xf>
    <xf numFmtId="0" fontId="97" fillId="7" borderId="763" xfId="45" applyFont="1" applyFill="1" applyBorder="1" applyAlignment="1">
      <alignment horizontal="center"/>
    </xf>
    <xf numFmtId="0" fontId="97" fillId="7" borderId="764" xfId="45" applyFont="1" applyFill="1" applyBorder="1" applyAlignment="1">
      <alignment horizontal="center"/>
    </xf>
    <xf numFmtId="0" fontId="97" fillId="33" borderId="765" xfId="45" applyFont="1" applyFill="1" applyBorder="1" applyAlignment="1" applyProtection="1">
      <alignment horizontal="center"/>
      <protection locked="0"/>
    </xf>
    <xf numFmtId="0" fontId="97" fillId="33" borderId="766" xfId="45" applyFont="1" applyFill="1" applyBorder="1" applyAlignment="1" applyProtection="1">
      <alignment horizontal="center"/>
      <protection locked="0"/>
    </xf>
    <xf numFmtId="4" fontId="97" fillId="33" borderId="754" xfId="46" applyNumberFormat="1" applyFont="1" applyFill="1" applyBorder="1" applyAlignment="1" applyProtection="1">
      <alignment horizontal="center"/>
      <protection locked="0"/>
    </xf>
    <xf numFmtId="4" fontId="97" fillId="33" borderId="756" xfId="46" applyNumberFormat="1" applyFont="1" applyFill="1" applyBorder="1" applyAlignment="1" applyProtection="1">
      <alignment horizontal="center"/>
      <protection locked="0"/>
    </xf>
    <xf numFmtId="176" fontId="97" fillId="7" borderId="754" xfId="45" applyNumberFormat="1" applyFont="1" applyFill="1" applyBorder="1" applyAlignment="1">
      <alignment horizontal="center"/>
    </xf>
    <xf numFmtId="176" fontId="97" fillId="7" borderId="756" xfId="45" applyNumberFormat="1" applyFont="1" applyFill="1" applyBorder="1" applyAlignment="1">
      <alignment horizontal="center"/>
    </xf>
    <xf numFmtId="0" fontId="97" fillId="7" borderId="754" xfId="45" applyFont="1" applyFill="1" applyBorder="1" applyAlignment="1">
      <alignment horizontal="center"/>
    </xf>
    <xf numFmtId="0" fontId="97" fillId="7" borderId="756" xfId="45" applyFont="1" applyFill="1" applyBorder="1" applyAlignment="1">
      <alignment horizontal="center"/>
    </xf>
    <xf numFmtId="170" fontId="97" fillId="33" borderId="754" xfId="45" applyNumberFormat="1" applyFont="1" applyFill="1" applyBorder="1" applyAlignment="1" applyProtection="1">
      <alignment horizontal="center"/>
      <protection locked="0"/>
    </xf>
    <xf numFmtId="170" fontId="97" fillId="33" borderId="756" xfId="45" applyNumberFormat="1" applyFont="1" applyFill="1" applyBorder="1" applyAlignment="1" applyProtection="1">
      <alignment horizontal="center"/>
      <protection locked="0"/>
    </xf>
    <xf numFmtId="170" fontId="97" fillId="60" borderId="754" xfId="45" applyNumberFormat="1" applyFont="1" applyFill="1" applyBorder="1" applyAlignment="1" applyProtection="1">
      <alignment horizontal="center"/>
      <protection locked="0"/>
    </xf>
    <xf numFmtId="170" fontId="97" fillId="60" borderId="756" xfId="45" applyNumberFormat="1" applyFont="1" applyFill="1" applyBorder="1" applyAlignment="1" applyProtection="1">
      <alignment horizontal="center"/>
      <protection locked="0"/>
    </xf>
    <xf numFmtId="3" fontId="97" fillId="7" borderId="754" xfId="46" applyNumberFormat="1" applyFont="1" applyFill="1" applyBorder="1" applyAlignment="1">
      <alignment horizontal="right"/>
    </xf>
    <xf numFmtId="3" fontId="97" fillId="7" borderId="756" xfId="46" applyNumberFormat="1" applyFont="1" applyFill="1" applyBorder="1" applyAlignment="1">
      <alignment horizontal="right"/>
    </xf>
    <xf numFmtId="3" fontId="97" fillId="59" borderId="754" xfId="46" applyNumberFormat="1" applyFont="1" applyFill="1" applyBorder="1" applyAlignment="1">
      <alignment horizontal="right"/>
    </xf>
    <xf numFmtId="3" fontId="97" fillId="59" borderId="756" xfId="46" applyNumberFormat="1" applyFont="1" applyFill="1" applyBorder="1" applyAlignment="1">
      <alignment horizontal="right"/>
    </xf>
    <xf numFmtId="3" fontId="97" fillId="7" borderId="767" xfId="46" applyNumberFormat="1" applyFont="1" applyFill="1" applyBorder="1" applyAlignment="1">
      <alignment horizontal="right"/>
    </xf>
    <xf numFmtId="3" fontId="111" fillId="7" borderId="754" xfId="46" applyNumberFormat="1" applyFont="1" applyFill="1" applyBorder="1" applyAlignment="1">
      <alignment horizontal="right"/>
    </xf>
    <xf numFmtId="3" fontId="111" fillId="7" borderId="756" xfId="46" applyNumberFormat="1" applyFont="1" applyFill="1" applyBorder="1" applyAlignment="1">
      <alignment horizontal="right"/>
    </xf>
    <xf numFmtId="3" fontId="97" fillId="33" borderId="754" xfId="46" applyNumberFormat="1" applyFont="1" applyFill="1" applyBorder="1" applyAlignment="1" applyProtection="1">
      <protection locked="0"/>
    </xf>
    <xf numFmtId="3" fontId="97" fillId="33" borderId="756" xfId="46" applyNumberFormat="1" applyFont="1" applyFill="1" applyBorder="1" applyAlignment="1" applyProtection="1">
      <protection locked="0"/>
    </xf>
    <xf numFmtId="3" fontId="97" fillId="33" borderId="767" xfId="46" applyNumberFormat="1" applyFont="1" applyFill="1" applyBorder="1" applyAlignment="1" applyProtection="1">
      <protection locked="0"/>
    </xf>
    <xf numFmtId="3" fontId="97" fillId="7" borderId="754" xfId="46" applyNumberFormat="1" applyFont="1" applyFill="1" applyBorder="1" applyAlignment="1"/>
    <xf numFmtId="3" fontId="97" fillId="7" borderId="767" xfId="46" applyNumberFormat="1" applyFont="1" applyFill="1" applyBorder="1" applyAlignment="1"/>
    <xf numFmtId="3" fontId="97" fillId="7" borderId="756" xfId="46" applyNumberFormat="1" applyFont="1" applyFill="1" applyBorder="1" applyAlignment="1"/>
    <xf numFmtId="4" fontId="97" fillId="33" borderId="754" xfId="46" applyNumberFormat="1" applyFont="1" applyFill="1" applyBorder="1" applyAlignment="1" applyProtection="1">
      <protection locked="0"/>
    </xf>
    <xf numFmtId="4" fontId="97" fillId="33" borderId="756" xfId="46" applyNumberFormat="1" applyFont="1" applyFill="1" applyBorder="1" applyAlignment="1" applyProtection="1">
      <protection locked="0"/>
    </xf>
    <xf numFmtId="3" fontId="97" fillId="7" borderId="754" xfId="46" applyNumberFormat="1" applyFont="1" applyFill="1" applyBorder="1" applyAlignment="1" applyProtection="1"/>
    <xf numFmtId="3" fontId="97" fillId="7" borderId="767" xfId="46" applyNumberFormat="1" applyFont="1" applyFill="1" applyBorder="1" applyAlignment="1" applyProtection="1"/>
    <xf numFmtId="2" fontId="111" fillId="58" borderId="754" xfId="21" applyNumberFormat="1" applyFont="1" applyFill="1" applyBorder="1" applyAlignment="1" applyProtection="1">
      <alignment wrapText="1"/>
      <protection locked="0"/>
    </xf>
    <xf numFmtId="2" fontId="97" fillId="33" borderId="756" xfId="46" applyNumberFormat="1" applyFont="1" applyFill="1" applyBorder="1" applyAlignment="1" applyProtection="1">
      <protection locked="0"/>
    </xf>
    <xf numFmtId="0" fontId="151" fillId="33" borderId="768" xfId="45" applyFont="1" applyFill="1" applyBorder="1" applyAlignment="1" applyProtection="1">
      <alignment horizontal="center"/>
      <protection locked="0"/>
    </xf>
    <xf numFmtId="0" fontId="151" fillId="33" borderId="769" xfId="45" applyFont="1" applyFill="1" applyBorder="1" applyAlignment="1" applyProtection="1">
      <alignment horizontal="center"/>
      <protection locked="0"/>
    </xf>
    <xf numFmtId="0" fontId="97" fillId="33" borderId="740" xfId="45" applyFont="1" applyFill="1" applyBorder="1" applyAlignment="1" applyProtection="1">
      <alignment horizontal="center"/>
      <protection locked="0"/>
    </xf>
    <xf numFmtId="0" fontId="97" fillId="33" borderId="249" xfId="45" applyFont="1" applyFill="1" applyBorder="1" applyAlignment="1" applyProtection="1">
      <alignment horizontal="center"/>
      <protection locked="0"/>
    </xf>
    <xf numFmtId="0" fontId="97" fillId="33" borderId="770" xfId="45" applyFont="1" applyFill="1" applyBorder="1" applyAlignment="1" applyProtection="1">
      <alignment horizontal="center"/>
      <protection locked="0"/>
    </xf>
    <xf numFmtId="0" fontId="97" fillId="33" borderId="768" xfId="45" applyFont="1" applyFill="1" applyBorder="1" applyAlignment="1" applyProtection="1">
      <alignment horizontal="center"/>
      <protection locked="0"/>
    </xf>
    <xf numFmtId="0" fontId="97" fillId="33" borderId="769" xfId="45" applyFont="1" applyFill="1" applyBorder="1" applyAlignment="1" applyProtection="1">
      <alignment horizontal="center"/>
      <protection locked="0"/>
    </xf>
    <xf numFmtId="4" fontId="97" fillId="33" borderId="740" xfId="46" applyNumberFormat="1" applyFont="1" applyFill="1" applyBorder="1" applyAlignment="1" applyProtection="1">
      <alignment horizontal="center"/>
      <protection locked="0"/>
    </xf>
    <xf numFmtId="176" fontId="97" fillId="7" borderId="740" xfId="45" applyNumberFormat="1" applyFont="1" applyFill="1" applyBorder="1" applyAlignment="1">
      <alignment horizontal="center"/>
    </xf>
    <xf numFmtId="0" fontId="97" fillId="7" borderId="740" xfId="45" applyFont="1" applyFill="1" applyBorder="1" applyAlignment="1">
      <alignment horizontal="center"/>
    </xf>
    <xf numFmtId="170" fontId="97" fillId="33" borderId="740" xfId="45" applyNumberFormat="1" applyFont="1" applyFill="1" applyBorder="1" applyAlignment="1" applyProtection="1">
      <alignment horizontal="center"/>
      <protection locked="0"/>
    </xf>
    <xf numFmtId="170" fontId="97" fillId="60" borderId="740" xfId="45" applyNumberFormat="1" applyFont="1" applyFill="1" applyBorder="1" applyAlignment="1" applyProtection="1">
      <alignment horizontal="center"/>
      <protection locked="0"/>
    </xf>
    <xf numFmtId="3" fontId="97" fillId="7" borderId="740" xfId="46" applyNumberFormat="1" applyFont="1" applyFill="1" applyBorder="1" applyAlignment="1">
      <alignment horizontal="right"/>
    </xf>
    <xf numFmtId="3" fontId="97" fillId="59" borderId="740" xfId="46" applyNumberFormat="1" applyFont="1" applyFill="1" applyBorder="1" applyAlignment="1">
      <alignment horizontal="right"/>
    </xf>
    <xf numFmtId="3" fontId="97" fillId="33" borderId="740" xfId="46" applyNumberFormat="1" applyFont="1" applyFill="1" applyBorder="1" applyAlignment="1" applyProtection="1">
      <protection locked="0"/>
    </xf>
    <xf numFmtId="3" fontId="97" fillId="7" borderId="740" xfId="46" applyNumberFormat="1" applyFont="1" applyFill="1" applyBorder="1" applyAlignment="1"/>
    <xf numFmtId="4" fontId="97" fillId="33" borderId="740" xfId="46" applyNumberFormat="1" applyFont="1" applyFill="1" applyBorder="1" applyAlignment="1" applyProtection="1">
      <protection locked="0"/>
    </xf>
    <xf numFmtId="3" fontId="97" fillId="7" borderId="740" xfId="46" applyNumberFormat="1" applyFont="1" applyFill="1" applyBorder="1" applyAlignment="1" applyProtection="1"/>
    <xf numFmtId="2" fontId="97" fillId="33" borderId="740" xfId="46" applyNumberFormat="1" applyFont="1" applyFill="1" applyBorder="1" applyAlignment="1" applyProtection="1">
      <protection locked="0"/>
    </xf>
    <xf numFmtId="3" fontId="97" fillId="7" borderId="771" xfId="46" applyNumberFormat="1" applyFont="1" applyFill="1" applyBorder="1" applyAlignment="1" applyProtection="1"/>
    <xf numFmtId="3" fontId="97" fillId="7" borderId="772" xfId="46" applyNumberFormat="1" applyFont="1" applyFill="1" applyBorder="1" applyAlignment="1" applyProtection="1"/>
    <xf numFmtId="3" fontId="97" fillId="44" borderId="733" xfId="46" applyNumberFormat="1" applyFont="1" applyFill="1" applyBorder="1" applyAlignment="1" applyProtection="1"/>
    <xf numFmtId="3" fontId="97" fillId="44" borderId="737" xfId="46" applyNumberFormat="1" applyFont="1" applyFill="1" applyBorder="1" applyAlignment="1" applyProtection="1"/>
    <xf numFmtId="0" fontId="151" fillId="33" borderId="414" xfId="45" applyFont="1" applyFill="1" applyBorder="1" applyAlignment="1" applyProtection="1">
      <alignment horizontal="center" wrapText="1"/>
      <protection locked="0"/>
    </xf>
    <xf numFmtId="0" fontId="97" fillId="33" borderId="773" xfId="45" applyFont="1" applyFill="1" applyBorder="1" applyAlignment="1" applyProtection="1">
      <alignment horizontal="center"/>
      <protection locked="0"/>
    </xf>
    <xf numFmtId="0" fontId="97" fillId="33" borderId="774" xfId="45" applyFont="1" applyFill="1" applyBorder="1" applyAlignment="1" applyProtection="1">
      <alignment horizontal="center"/>
      <protection locked="0"/>
    </xf>
    <xf numFmtId="0" fontId="97" fillId="33" borderId="741" xfId="45" applyFont="1" applyFill="1" applyBorder="1" applyAlignment="1" applyProtection="1">
      <alignment horizontal="center"/>
      <protection locked="0"/>
    </xf>
    <xf numFmtId="4" fontId="97" fillId="33" borderId="741" xfId="46" applyNumberFormat="1" applyFont="1" applyFill="1" applyBorder="1" applyAlignment="1" applyProtection="1">
      <alignment horizontal="center"/>
      <protection locked="0"/>
    </xf>
    <xf numFmtId="176" fontId="97" fillId="7" borderId="741" xfId="45" applyNumberFormat="1" applyFont="1" applyFill="1" applyBorder="1" applyAlignment="1">
      <alignment horizontal="center"/>
    </xf>
    <xf numFmtId="0" fontId="97" fillId="7" borderId="741" xfId="45" applyFont="1" applyFill="1" applyBorder="1" applyAlignment="1">
      <alignment horizontal="center"/>
    </xf>
    <xf numFmtId="170" fontId="97" fillId="33" borderId="741" xfId="45" applyNumberFormat="1" applyFont="1" applyFill="1" applyBorder="1" applyAlignment="1" applyProtection="1">
      <alignment horizontal="center"/>
      <protection locked="0"/>
    </xf>
    <xf numFmtId="170" fontId="97" fillId="60" borderId="741" xfId="45" applyNumberFormat="1" applyFont="1" applyFill="1" applyBorder="1" applyAlignment="1" applyProtection="1">
      <alignment horizontal="center"/>
      <protection locked="0"/>
    </xf>
    <xf numFmtId="3" fontId="97" fillId="59" borderId="741" xfId="46" applyNumberFormat="1" applyFont="1" applyFill="1" applyBorder="1" applyAlignment="1">
      <alignment horizontal="right"/>
    </xf>
    <xf numFmtId="3" fontId="111" fillId="7" borderId="741" xfId="46" applyNumberFormat="1" applyFont="1" applyFill="1" applyBorder="1" applyAlignment="1">
      <alignment horizontal="right"/>
    </xf>
    <xf numFmtId="3" fontId="111" fillId="7" borderId="740" xfId="46" applyNumberFormat="1" applyFont="1" applyFill="1" applyBorder="1" applyAlignment="1">
      <alignment horizontal="right"/>
    </xf>
    <xf numFmtId="3" fontId="97" fillId="33" borderId="741" xfId="46" applyNumberFormat="1" applyFont="1" applyFill="1" applyBorder="1" applyAlignment="1" applyProtection="1">
      <protection locked="0"/>
    </xf>
    <xf numFmtId="3" fontId="97" fillId="7" borderId="741" xfId="46" applyNumberFormat="1" applyFont="1" applyFill="1" applyBorder="1" applyAlignment="1"/>
    <xf numFmtId="4" fontId="97" fillId="33" borderId="741" xfId="46" applyNumberFormat="1" applyFont="1" applyFill="1" applyBorder="1" applyAlignment="1" applyProtection="1">
      <protection locked="0"/>
    </xf>
    <xf numFmtId="3" fontId="97" fillId="7" borderId="741" xfId="46" applyNumberFormat="1" applyFont="1" applyFill="1" applyBorder="1" applyAlignment="1" applyProtection="1"/>
    <xf numFmtId="2" fontId="97" fillId="33" borderId="741" xfId="46" applyNumberFormat="1" applyFont="1" applyFill="1" applyBorder="1" applyAlignment="1" applyProtection="1">
      <protection locked="0"/>
    </xf>
    <xf numFmtId="3" fontId="97" fillId="7" borderId="775" xfId="46" applyNumberFormat="1" applyFont="1" applyFill="1" applyBorder="1" applyAlignment="1" applyProtection="1"/>
    <xf numFmtId="3" fontId="97" fillId="7" borderId="776" xfId="46" applyNumberFormat="1" applyFont="1" applyFill="1" applyBorder="1" applyAlignment="1" applyProtection="1"/>
    <xf numFmtId="0" fontId="151" fillId="33" borderId="415" xfId="45" applyFont="1" applyFill="1" applyBorder="1" applyAlignment="1" applyProtection="1">
      <alignment horizontal="center" wrapText="1"/>
      <protection locked="0"/>
    </xf>
    <xf numFmtId="0" fontId="151" fillId="33" borderId="184" xfId="45" applyFont="1" applyFill="1" applyBorder="1" applyAlignment="1" applyProtection="1">
      <alignment horizontal="center" wrapText="1"/>
      <protection locked="0"/>
    </xf>
    <xf numFmtId="0" fontId="151" fillId="33" borderId="774" xfId="45" applyFont="1" applyFill="1" applyBorder="1" applyAlignment="1" applyProtection="1">
      <alignment horizontal="center"/>
      <protection locked="0"/>
    </xf>
    <xf numFmtId="0" fontId="151" fillId="33" borderId="777" xfId="45" applyFont="1" applyFill="1" applyBorder="1" applyAlignment="1" applyProtection="1">
      <alignment horizontal="center"/>
      <protection locked="0"/>
    </xf>
    <xf numFmtId="4" fontId="70" fillId="0" borderId="0" xfId="0" applyNumberFormat="1" applyFont="1"/>
    <xf numFmtId="0" fontId="4" fillId="33" borderId="738" xfId="0" applyFont="1" applyFill="1" applyBorder="1" applyProtection="1">
      <protection locked="0"/>
    </xf>
    <xf numFmtId="9" fontId="97" fillId="33" borderId="740" xfId="26" applyFont="1" applyFill="1" applyBorder="1" applyAlignment="1" applyProtection="1">
      <alignment horizontal="center"/>
      <protection locked="0"/>
    </xf>
    <xf numFmtId="4" fontId="59" fillId="33" borderId="741" xfId="1" applyFill="1" applyBorder="1" applyAlignment="1" applyProtection="1">
      <alignment horizontal="center"/>
      <protection locked="0"/>
    </xf>
    <xf numFmtId="0" fontId="97" fillId="33" borderId="304" xfId="45" applyFont="1" applyFill="1" applyBorder="1" applyAlignment="1" applyProtection="1">
      <alignment horizontal="center"/>
      <protection locked="0"/>
    </xf>
    <xf numFmtId="0" fontId="97" fillId="33" borderId="777" xfId="45" applyFont="1" applyFill="1" applyBorder="1" applyAlignment="1" applyProtection="1">
      <alignment horizontal="center"/>
      <protection locked="0"/>
    </xf>
    <xf numFmtId="0" fontId="97" fillId="33" borderId="747" xfId="45" applyFont="1" applyFill="1" applyBorder="1" applyAlignment="1" applyProtection="1">
      <alignment horizontal="center"/>
      <protection locked="0"/>
    </xf>
    <xf numFmtId="4" fontId="97" fillId="33" borderId="747" xfId="46" applyNumberFormat="1" applyFont="1" applyFill="1" applyBorder="1" applyAlignment="1" applyProtection="1">
      <alignment horizontal="center"/>
      <protection locked="0"/>
    </xf>
    <xf numFmtId="3" fontId="97" fillId="46" borderId="741" xfId="46" applyNumberFormat="1" applyFont="1" applyFill="1" applyBorder="1" applyAlignment="1"/>
    <xf numFmtId="3" fontId="97" fillId="46" borderId="740" xfId="46" applyNumberFormat="1" applyFont="1" applyFill="1" applyBorder="1" applyAlignment="1"/>
    <xf numFmtId="3" fontId="97" fillId="46" borderId="747" xfId="46" applyNumberFormat="1" applyFont="1" applyFill="1" applyBorder="1" applyAlignment="1"/>
    <xf numFmtId="176" fontId="97" fillId="7" borderId="747" xfId="45" applyNumberFormat="1" applyFont="1" applyFill="1" applyBorder="1" applyAlignment="1">
      <alignment horizontal="center"/>
    </xf>
    <xf numFmtId="0" fontId="97" fillId="7" borderId="747" xfId="45" applyFont="1" applyFill="1" applyBorder="1" applyAlignment="1">
      <alignment horizontal="center"/>
    </xf>
    <xf numFmtId="170" fontId="79" fillId="33" borderId="741" xfId="45" applyNumberFormat="1" applyFont="1" applyFill="1" applyBorder="1" applyAlignment="1" applyProtection="1">
      <alignment horizontal="center"/>
      <protection locked="0"/>
    </xf>
    <xf numFmtId="170" fontId="79" fillId="33" borderId="740" xfId="45" applyNumberFormat="1" applyFont="1" applyFill="1" applyBorder="1" applyAlignment="1" applyProtection="1">
      <alignment horizontal="center"/>
      <protection locked="0"/>
    </xf>
    <xf numFmtId="170" fontId="79" fillId="33" borderId="747" xfId="45" applyNumberFormat="1" applyFont="1" applyFill="1" applyBorder="1" applyAlignment="1" applyProtection="1">
      <alignment horizontal="center"/>
      <protection locked="0"/>
    </xf>
    <xf numFmtId="170" fontId="79" fillId="33" borderId="743" xfId="45" applyNumberFormat="1" applyFont="1" applyFill="1" applyBorder="1" applyAlignment="1" applyProtection="1">
      <alignment horizontal="center"/>
      <protection locked="0"/>
    </xf>
    <xf numFmtId="170" fontId="97" fillId="33" borderId="747" xfId="45" applyNumberFormat="1" applyFont="1" applyFill="1" applyBorder="1" applyAlignment="1" applyProtection="1">
      <alignment horizontal="center"/>
      <protection locked="0"/>
    </xf>
    <xf numFmtId="170" fontId="97" fillId="60" borderId="747" xfId="45" applyNumberFormat="1" applyFont="1" applyFill="1" applyBorder="1" applyAlignment="1" applyProtection="1">
      <alignment horizontal="center"/>
      <protection locked="0"/>
    </xf>
    <xf numFmtId="3" fontId="97" fillId="7" borderId="747" xfId="46" applyNumberFormat="1" applyFont="1" applyFill="1" applyBorder="1" applyAlignment="1">
      <alignment horizontal="right"/>
    </xf>
    <xf numFmtId="3" fontId="97" fillId="43" borderId="741" xfId="46" applyNumberFormat="1" applyFont="1" applyFill="1" applyBorder="1" applyAlignment="1" applyProtection="1">
      <alignment horizontal="right"/>
    </xf>
    <xf numFmtId="3" fontId="97" fillId="43" borderId="740" xfId="46" applyNumberFormat="1" applyFont="1" applyFill="1" applyBorder="1" applyAlignment="1" applyProtection="1">
      <alignment horizontal="right"/>
    </xf>
    <xf numFmtId="3" fontId="97" fillId="43" borderId="747" xfId="46" applyNumberFormat="1" applyFont="1" applyFill="1" applyBorder="1" applyAlignment="1" applyProtection="1">
      <alignment horizontal="right"/>
    </xf>
    <xf numFmtId="3" fontId="97" fillId="43" borderId="743" xfId="46" applyNumberFormat="1" applyFont="1" applyFill="1" applyBorder="1" applyAlignment="1" applyProtection="1">
      <alignment horizontal="right"/>
    </xf>
    <xf numFmtId="3" fontId="97" fillId="33" borderId="747" xfId="46" applyNumberFormat="1" applyFont="1" applyFill="1" applyBorder="1" applyAlignment="1" applyProtection="1">
      <protection locked="0"/>
    </xf>
    <xf numFmtId="3" fontId="97" fillId="7" borderId="747" xfId="46" applyNumberFormat="1" applyFont="1" applyFill="1" applyBorder="1" applyAlignment="1"/>
    <xf numFmtId="4" fontId="97" fillId="33" borderId="747" xfId="46" applyNumberFormat="1" applyFont="1" applyFill="1" applyBorder="1" applyAlignment="1" applyProtection="1">
      <protection locked="0"/>
    </xf>
    <xf numFmtId="3" fontId="97" fillId="7" borderId="747" xfId="46" applyNumberFormat="1" applyFont="1" applyFill="1" applyBorder="1" applyAlignment="1" applyProtection="1"/>
    <xf numFmtId="2" fontId="97" fillId="33" borderId="747" xfId="46" applyNumberFormat="1" applyFont="1" applyFill="1" applyBorder="1" applyAlignment="1" applyProtection="1">
      <protection locked="0"/>
    </xf>
    <xf numFmtId="3" fontId="163" fillId="7" borderId="778" xfId="0" applyNumberFormat="1" applyFont="1" applyFill="1" applyBorder="1" applyAlignment="1">
      <alignment horizontal="center"/>
    </xf>
    <xf numFmtId="3" fontId="152" fillId="10" borderId="779" xfId="0" applyNumberFormat="1" applyFont="1" applyFill="1" applyBorder="1"/>
    <xf numFmtId="9" fontId="97" fillId="33" borderId="736" xfId="75" applyFont="1" applyFill="1" applyBorder="1" applyAlignment="1" applyProtection="1">
      <alignment horizontal="center"/>
      <protection locked="0"/>
    </xf>
    <xf numFmtId="4" fontId="97" fillId="33" borderId="780" xfId="45" applyNumberFormat="1" applyFont="1" applyFill="1" applyBorder="1" applyAlignment="1" applyProtection="1">
      <alignment horizontal="center"/>
      <protection locked="0"/>
    </xf>
    <xf numFmtId="2" fontId="97" fillId="33" borderId="780" xfId="45" applyNumberFormat="1" applyFont="1" applyFill="1" applyBorder="1" applyAlignment="1" applyProtection="1">
      <alignment horizontal="center"/>
      <protection locked="0"/>
    </xf>
    <xf numFmtId="3" fontId="97" fillId="7" borderId="781" xfId="46" applyNumberFormat="1" applyFont="1" applyFill="1" applyBorder="1" applyAlignment="1" applyProtection="1"/>
    <xf numFmtId="3" fontId="97" fillId="7" borderId="782" xfId="46" applyNumberFormat="1" applyFont="1" applyFill="1" applyBorder="1" applyAlignment="1" applyProtection="1"/>
    <xf numFmtId="3" fontId="97" fillId="7" borderId="783" xfId="46" applyNumberFormat="1" applyFont="1" applyFill="1" applyBorder="1" applyAlignment="1" applyProtection="1"/>
    <xf numFmtId="176" fontId="97" fillId="7" borderId="742" xfId="45" applyNumberFormat="1" applyFont="1" applyFill="1" applyBorder="1" applyAlignment="1">
      <alignment horizontal="center"/>
    </xf>
    <xf numFmtId="176" fontId="97" fillId="7" borderId="751" xfId="45" applyNumberFormat="1" applyFont="1" applyFill="1" applyBorder="1" applyAlignment="1">
      <alignment horizontal="center"/>
    </xf>
    <xf numFmtId="0" fontId="97" fillId="7" borderId="742" xfId="45" applyFont="1" applyFill="1" applyBorder="1" applyAlignment="1">
      <alignment horizontal="center"/>
    </xf>
    <xf numFmtId="0" fontId="97" fillId="7" borderId="751" xfId="45" applyFont="1" applyFill="1" applyBorder="1" applyAlignment="1">
      <alignment horizontal="center"/>
    </xf>
    <xf numFmtId="0" fontId="97" fillId="33" borderId="30" xfId="45" applyFont="1" applyFill="1" applyBorder="1" applyAlignment="1" applyProtection="1">
      <alignment horizontal="center" wrapText="1"/>
      <protection locked="0"/>
    </xf>
    <xf numFmtId="0" fontId="97" fillId="43" borderId="30" xfId="45" applyFont="1" applyFill="1" applyBorder="1" applyAlignment="1">
      <alignment horizontal="center"/>
    </xf>
    <xf numFmtId="0" fontId="97" fillId="33" borderId="30" xfId="45" applyFont="1" applyFill="1" applyBorder="1" applyAlignment="1" applyProtection="1">
      <alignment horizontal="center"/>
      <protection locked="0"/>
    </xf>
    <xf numFmtId="0" fontId="97" fillId="33" borderId="784" xfId="45" applyFont="1" applyFill="1" applyBorder="1" applyAlignment="1" applyProtection="1">
      <alignment horizontal="center" wrapText="1"/>
      <protection locked="0"/>
    </xf>
    <xf numFmtId="0" fontId="97" fillId="43" borderId="784" xfId="45" applyFont="1" applyFill="1" applyBorder="1" applyAlignment="1">
      <alignment horizontal="center"/>
    </xf>
    <xf numFmtId="0" fontId="97" fillId="33" borderId="784" xfId="45" applyFont="1" applyFill="1" applyBorder="1" applyAlignment="1" applyProtection="1">
      <alignment horizontal="center"/>
      <protection locked="0"/>
    </xf>
    <xf numFmtId="0" fontId="97" fillId="33" borderId="785" xfId="45" applyFont="1" applyFill="1" applyBorder="1" applyAlignment="1" applyProtection="1">
      <alignment horizontal="center"/>
      <protection locked="0"/>
    </xf>
    <xf numFmtId="0" fontId="97" fillId="7" borderId="352" xfId="45" applyFont="1" applyFill="1" applyBorder="1" applyAlignment="1">
      <alignment horizontal="left"/>
    </xf>
    <xf numFmtId="0" fontId="97" fillId="46" borderId="743" xfId="45" applyFont="1" applyFill="1" applyBorder="1" applyAlignment="1">
      <alignment horizontal="center"/>
    </xf>
    <xf numFmtId="2" fontId="97" fillId="33" borderId="743" xfId="45" applyNumberFormat="1" applyFont="1" applyFill="1" applyBorder="1" applyAlignment="1" applyProtection="1">
      <alignment horizontal="center"/>
      <protection locked="0"/>
    </xf>
    <xf numFmtId="4" fontId="97" fillId="7" borderId="743" xfId="45" applyNumberFormat="1" applyFont="1" applyFill="1" applyBorder="1" applyAlignment="1">
      <alignment horizontal="center"/>
    </xf>
    <xf numFmtId="3" fontId="97" fillId="33" borderId="743" xfId="45" applyNumberFormat="1" applyFont="1" applyFill="1" applyBorder="1" applyAlignment="1" applyProtection="1">
      <alignment horizontal="center"/>
      <protection locked="0"/>
    </xf>
    <xf numFmtId="3" fontId="97" fillId="7" borderId="743" xfId="45" applyNumberFormat="1" applyFont="1" applyFill="1" applyBorder="1" applyAlignment="1">
      <alignment horizontal="center"/>
    </xf>
    <xf numFmtId="170" fontId="174" fillId="33" borderId="743" xfId="45" applyNumberFormat="1" applyFont="1" applyFill="1" applyBorder="1" applyAlignment="1" applyProtection="1">
      <alignment horizontal="center"/>
      <protection locked="0"/>
    </xf>
    <xf numFmtId="4" fontId="97" fillId="33" borderId="743" xfId="45" applyNumberFormat="1" applyFont="1" applyFill="1" applyBorder="1" applyAlignment="1" applyProtection="1">
      <alignment horizontal="center"/>
      <protection locked="0"/>
    </xf>
    <xf numFmtId="4" fontId="97" fillId="7" borderId="743" xfId="46" applyNumberFormat="1" applyFont="1" applyFill="1" applyBorder="1" applyAlignment="1">
      <alignment horizontal="right"/>
    </xf>
    <xf numFmtId="4" fontId="97" fillId="7" borderId="733" xfId="46" applyNumberFormat="1" applyFont="1" applyFill="1" applyBorder="1" applyAlignment="1">
      <alignment horizontal="right"/>
    </xf>
    <xf numFmtId="4" fontId="97" fillId="7" borderId="733" xfId="46" applyNumberFormat="1" applyFont="1" applyFill="1" applyBorder="1" applyAlignment="1"/>
    <xf numFmtId="4" fontId="97" fillId="7" borderId="25" xfId="46" applyNumberFormat="1" applyFont="1" applyFill="1" applyBorder="1" applyAlignment="1"/>
    <xf numFmtId="4" fontId="97" fillId="7" borderId="743" xfId="46" applyNumberFormat="1" applyFont="1" applyFill="1" applyBorder="1" applyAlignment="1"/>
    <xf numFmtId="4" fontId="97" fillId="7" borderId="21" xfId="46" applyNumberFormat="1" applyFont="1" applyFill="1" applyBorder="1" applyAlignment="1"/>
    <xf numFmtId="4" fontId="97" fillId="7" borderId="786" xfId="46" applyNumberFormat="1" applyFont="1" applyFill="1" applyBorder="1" applyAlignment="1"/>
    <xf numFmtId="4" fontId="111" fillId="33" borderId="30" xfId="46" applyNumberFormat="1" applyFont="1" applyFill="1" applyBorder="1" applyAlignment="1" applyProtection="1">
      <protection locked="0"/>
    </xf>
    <xf numFmtId="4" fontId="111" fillId="33" borderId="743" xfId="46" applyNumberFormat="1" applyFont="1" applyFill="1" applyBorder="1" applyAlignment="1" applyProtection="1">
      <protection locked="0"/>
    </xf>
    <xf numFmtId="4" fontId="111" fillId="7" borderId="30" xfId="46" applyNumberFormat="1" applyFont="1" applyFill="1" applyBorder="1" applyAlignment="1"/>
    <xf numFmtId="4" fontId="97" fillId="33" borderId="30" xfId="46" applyNumberFormat="1" applyFont="1" applyFill="1" applyBorder="1" applyAlignment="1" applyProtection="1">
      <alignment horizontal="center"/>
      <protection locked="0"/>
    </xf>
    <xf numFmtId="4" fontId="111" fillId="7" borderId="743" xfId="46" applyNumberFormat="1" applyFont="1" applyFill="1" applyBorder="1" applyAlignment="1" applyProtection="1"/>
    <xf numFmtId="4" fontId="152" fillId="10" borderId="417" xfId="46" applyNumberFormat="1" applyFont="1" applyFill="1" applyBorder="1" applyAlignment="1"/>
    <xf numFmtId="3" fontId="97" fillId="33" borderId="747" xfId="45" applyNumberFormat="1" applyFont="1" applyFill="1" applyBorder="1" applyAlignment="1" applyProtection="1">
      <alignment horizontal="center"/>
      <protection locked="0"/>
    </xf>
    <xf numFmtId="3" fontId="97" fillId="46" borderId="741" xfId="45" applyNumberFormat="1" applyFont="1" applyFill="1" applyBorder="1" applyAlignment="1">
      <alignment horizontal="center"/>
    </xf>
    <xf numFmtId="3" fontId="97" fillId="46" borderId="747" xfId="45" applyNumberFormat="1" applyFont="1" applyFill="1" applyBorder="1" applyAlignment="1">
      <alignment horizontal="center"/>
    </xf>
    <xf numFmtId="2" fontId="97" fillId="33" borderId="741" xfId="45" applyNumberFormat="1" applyFont="1" applyFill="1" applyBorder="1" applyAlignment="1" applyProtection="1">
      <alignment horizontal="center"/>
      <protection locked="0"/>
    </xf>
    <xf numFmtId="2" fontId="97" fillId="33" borderId="747" xfId="45" applyNumberFormat="1" applyFont="1" applyFill="1" applyBorder="1" applyAlignment="1" applyProtection="1">
      <alignment horizontal="center"/>
      <protection locked="0"/>
    </xf>
    <xf numFmtId="4" fontId="97" fillId="7" borderId="741" xfId="45" applyNumberFormat="1" applyFont="1" applyFill="1" applyBorder="1" applyAlignment="1">
      <alignment horizontal="center"/>
    </xf>
    <xf numFmtId="4" fontId="97" fillId="7" borderId="747" xfId="45" applyNumberFormat="1" applyFont="1" applyFill="1" applyBorder="1" applyAlignment="1">
      <alignment horizontal="center"/>
    </xf>
    <xf numFmtId="3" fontId="97" fillId="33" borderId="741" xfId="45" applyNumberFormat="1" applyFont="1" applyFill="1" applyBorder="1" applyAlignment="1" applyProtection="1">
      <alignment horizontal="center"/>
      <protection locked="0"/>
    </xf>
    <xf numFmtId="3" fontId="97" fillId="7" borderId="741" xfId="45" applyNumberFormat="1" applyFont="1" applyFill="1" applyBorder="1" applyAlignment="1">
      <alignment horizontal="center"/>
    </xf>
    <xf numFmtId="3" fontId="97" fillId="7" borderId="747" xfId="45" applyNumberFormat="1" applyFont="1" applyFill="1" applyBorder="1" applyAlignment="1">
      <alignment horizontal="center"/>
    </xf>
    <xf numFmtId="4" fontId="97" fillId="30" borderId="741" xfId="45" applyNumberFormat="1" applyFont="1" applyFill="1" applyBorder="1" applyAlignment="1">
      <alignment horizontal="center"/>
    </xf>
    <xf numFmtId="4" fontId="97" fillId="30" borderId="747" xfId="45" applyNumberFormat="1" applyFont="1" applyFill="1" applyBorder="1" applyAlignment="1">
      <alignment horizontal="center"/>
    </xf>
    <xf numFmtId="4" fontId="97" fillId="30" borderId="472" xfId="46" applyNumberFormat="1" applyFont="1" applyFill="1" applyBorder="1" applyAlignment="1"/>
    <xf numFmtId="4" fontId="97" fillId="30" borderId="737" xfId="46" applyNumberFormat="1" applyFont="1" applyFill="1" applyBorder="1" applyAlignment="1"/>
    <xf numFmtId="4" fontId="97" fillId="7" borderId="741" xfId="46" applyNumberFormat="1" applyFont="1" applyFill="1" applyBorder="1" applyAlignment="1">
      <alignment horizontal="right"/>
    </xf>
    <xf numFmtId="4" fontId="97" fillId="7" borderId="747" xfId="46" applyNumberFormat="1" applyFont="1" applyFill="1" applyBorder="1" applyAlignment="1">
      <alignment horizontal="right"/>
    </xf>
    <xf numFmtId="4" fontId="97" fillId="30" borderId="787" xfId="46" applyNumberFormat="1" applyFont="1" applyFill="1" applyBorder="1" applyAlignment="1"/>
    <xf numFmtId="4" fontId="97" fillId="33" borderId="788" xfId="46" applyNumberFormat="1" applyFont="1" applyFill="1" applyBorder="1" applyAlignment="1" applyProtection="1">
      <protection locked="0"/>
    </xf>
    <xf numFmtId="4" fontId="97" fillId="30" borderId="789" xfId="46" applyNumberFormat="1" applyFont="1" applyFill="1" applyBorder="1" applyAlignment="1"/>
    <xf numFmtId="4" fontId="97" fillId="33" borderId="790" xfId="46" applyNumberFormat="1" applyFont="1" applyFill="1" applyBorder="1" applyAlignment="1" applyProtection="1">
      <protection locked="0"/>
    </xf>
    <xf numFmtId="4" fontId="97" fillId="30" borderId="773" xfId="46" applyNumberFormat="1" applyFont="1" applyFill="1" applyBorder="1" applyAlignment="1"/>
    <xf numFmtId="4" fontId="97" fillId="33" borderId="457" xfId="46" applyNumberFormat="1" applyFont="1" applyFill="1" applyBorder="1" applyAlignment="1" applyProtection="1">
      <protection locked="0"/>
    </xf>
    <xf numFmtId="4" fontId="97" fillId="33" borderId="737" xfId="46" applyNumberFormat="1" applyFont="1" applyFill="1" applyBorder="1" applyAlignment="1" applyProtection="1">
      <protection locked="0"/>
    </xf>
    <xf numFmtId="4" fontId="97" fillId="30" borderId="787" xfId="46" applyNumberFormat="1" applyFont="1" applyFill="1" applyBorder="1" applyAlignment="1" applyProtection="1">
      <protection locked="0"/>
    </xf>
    <xf numFmtId="4" fontId="97" fillId="33" borderId="791" xfId="46" applyNumberFormat="1" applyFont="1" applyFill="1" applyBorder="1" applyAlignment="1" applyProtection="1">
      <protection locked="0"/>
    </xf>
    <xf numFmtId="4" fontId="97" fillId="33" borderId="792" xfId="46" applyNumberFormat="1" applyFont="1" applyFill="1" applyBorder="1" applyAlignment="1" applyProtection="1">
      <protection locked="0"/>
    </xf>
    <xf numFmtId="4" fontId="97" fillId="30" borderId="741" xfId="46" applyNumberFormat="1" applyFont="1" applyFill="1" applyBorder="1" applyAlignment="1"/>
    <xf numFmtId="4" fontId="97" fillId="30" borderId="747" xfId="46" applyNumberFormat="1" applyFont="1" applyFill="1" applyBorder="1" applyAlignment="1"/>
    <xf numFmtId="4" fontId="97" fillId="30" borderId="140" xfId="46" applyNumberFormat="1" applyFont="1" applyFill="1" applyBorder="1" applyAlignment="1"/>
    <xf numFmtId="4" fontId="97" fillId="30" borderId="793" xfId="46" applyNumberFormat="1" applyFont="1" applyFill="1" applyBorder="1" applyAlignment="1"/>
    <xf numFmtId="4" fontId="97" fillId="30" borderId="457" xfId="46" applyNumberFormat="1" applyFont="1" applyFill="1" applyBorder="1" applyAlignment="1"/>
    <xf numFmtId="4" fontId="97" fillId="33" borderId="741" xfId="110" applyNumberFormat="1" applyFont="1" applyFill="1" applyBorder="1" applyAlignment="1" applyProtection="1">
      <alignment horizontal="center"/>
      <protection locked="0"/>
    </xf>
    <xf numFmtId="4" fontId="97" fillId="30" borderId="741" xfId="110" applyNumberFormat="1" applyFont="1" applyFill="1" applyBorder="1" applyAlignment="1" applyProtection="1">
      <alignment horizontal="center"/>
    </xf>
    <xf numFmtId="4" fontId="97" fillId="30" borderId="747" xfId="46" applyNumberFormat="1" applyFont="1" applyFill="1" applyBorder="1" applyAlignment="1" applyProtection="1">
      <alignment horizontal="center"/>
    </xf>
    <xf numFmtId="4" fontId="97" fillId="30" borderId="741" xfId="110" applyNumberFormat="1" applyFont="1" applyFill="1" applyBorder="1" applyAlignment="1" applyProtection="1">
      <alignment horizontal="center"/>
      <protection locked="0"/>
    </xf>
    <xf numFmtId="4" fontId="97" fillId="7" borderId="741" xfId="46" applyNumberFormat="1" applyFont="1" applyFill="1" applyBorder="1" applyAlignment="1"/>
    <xf numFmtId="4" fontId="97" fillId="7" borderId="747" xfId="46" applyNumberFormat="1" applyFont="1" applyFill="1" applyBorder="1" applyAlignment="1"/>
    <xf numFmtId="4" fontId="97" fillId="7" borderId="773" xfId="46" applyNumberFormat="1" applyFont="1" applyFill="1" applyBorder="1" applyAlignment="1"/>
    <xf numFmtId="4" fontId="97" fillId="7" borderId="457" xfId="46" applyNumberFormat="1" applyFont="1" applyFill="1" applyBorder="1" applyAlignment="1"/>
    <xf numFmtId="4" fontId="97" fillId="7" borderId="172" xfId="46" applyNumberFormat="1" applyFont="1" applyFill="1" applyBorder="1" applyAlignment="1"/>
    <xf numFmtId="4" fontId="97" fillId="7" borderId="219" xfId="46" applyNumberFormat="1" applyFont="1" applyFill="1" applyBorder="1" applyAlignment="1"/>
    <xf numFmtId="4" fontId="111" fillId="30" borderId="784" xfId="46" applyNumberFormat="1" applyFont="1" applyFill="1" applyBorder="1" applyAlignment="1"/>
    <xf numFmtId="4" fontId="111" fillId="30" borderId="794" xfId="46" applyNumberFormat="1" applyFont="1" applyFill="1" applyBorder="1" applyAlignment="1"/>
    <xf numFmtId="4" fontId="111" fillId="30" borderId="741" xfId="46" applyNumberFormat="1" applyFont="1" applyFill="1" applyBorder="1" applyAlignment="1"/>
    <xf numFmtId="4" fontId="111" fillId="30" borderId="747" xfId="46" applyNumberFormat="1" applyFont="1" applyFill="1" applyBorder="1" applyAlignment="1"/>
    <xf numFmtId="4" fontId="111" fillId="30" borderId="472" xfId="46" applyNumberFormat="1" applyFont="1" applyFill="1" applyBorder="1" applyAlignment="1"/>
    <xf numFmtId="4" fontId="111" fillId="30" borderId="737" xfId="46" applyNumberFormat="1" applyFont="1" applyFill="1" applyBorder="1" applyAlignment="1"/>
    <xf numFmtId="4" fontId="111" fillId="30" borderId="773" xfId="46" applyNumberFormat="1" applyFont="1" applyFill="1" applyBorder="1" applyAlignment="1"/>
    <xf numFmtId="4" fontId="111" fillId="30" borderId="457" xfId="46" applyNumberFormat="1" applyFont="1" applyFill="1" applyBorder="1" applyAlignment="1"/>
    <xf numFmtId="4" fontId="97" fillId="33" borderId="784" xfId="110" applyNumberFormat="1" applyFont="1" applyFill="1" applyBorder="1" applyAlignment="1" applyProtection="1">
      <alignment horizontal="center"/>
      <protection locked="0"/>
    </xf>
    <xf numFmtId="4" fontId="97" fillId="33" borderId="794" xfId="46" applyNumberFormat="1" applyFont="1" applyFill="1" applyBorder="1" applyAlignment="1" applyProtection="1">
      <alignment horizontal="center"/>
      <protection locked="0"/>
    </xf>
    <xf numFmtId="4" fontId="111" fillId="33" borderId="784" xfId="46" applyNumberFormat="1" applyFont="1" applyFill="1" applyBorder="1" applyAlignment="1" applyProtection="1">
      <protection locked="0"/>
    </xf>
    <xf numFmtId="4" fontId="111" fillId="33" borderId="794" xfId="46" applyNumberFormat="1" applyFont="1" applyFill="1" applyBorder="1" applyAlignment="1" applyProtection="1">
      <protection locked="0"/>
    </xf>
    <xf numFmtId="4" fontId="111" fillId="7" borderId="741" xfId="46" applyNumberFormat="1" applyFont="1" applyFill="1" applyBorder="1" applyAlignment="1" applyProtection="1"/>
    <xf numFmtId="4" fontId="111" fillId="7" borderId="747" xfId="46" applyNumberFormat="1" applyFont="1" applyFill="1" applyBorder="1" applyAlignment="1" applyProtection="1"/>
    <xf numFmtId="4" fontId="111" fillId="33" borderId="741" xfId="46" applyNumberFormat="1" applyFont="1" applyFill="1" applyBorder="1" applyAlignment="1" applyProtection="1">
      <protection locked="0"/>
    </xf>
    <xf numFmtId="4" fontId="111" fillId="33" borderId="747" xfId="46" applyNumberFormat="1" applyFont="1" applyFill="1" applyBorder="1" applyAlignment="1" applyProtection="1">
      <protection locked="0"/>
    </xf>
    <xf numFmtId="4" fontId="111" fillId="7" borderId="785" xfId="46" applyNumberFormat="1" applyFont="1" applyFill="1" applyBorder="1" applyAlignment="1" applyProtection="1"/>
    <xf numFmtId="4" fontId="111" fillId="7" borderId="795" xfId="46" applyNumberFormat="1" applyFont="1" applyFill="1" applyBorder="1" applyAlignment="1" applyProtection="1"/>
    <xf numFmtId="3" fontId="97" fillId="33" borderId="794" xfId="45" applyNumberFormat="1" applyFont="1" applyFill="1" applyBorder="1" applyAlignment="1" applyProtection="1">
      <alignment horizontal="center"/>
      <protection locked="0"/>
    </xf>
    <xf numFmtId="0" fontId="151" fillId="33" borderId="172" xfId="45" applyFont="1" applyFill="1" applyBorder="1" applyAlignment="1" applyProtection="1">
      <alignment horizontal="center" wrapText="1"/>
      <protection locked="0"/>
    </xf>
    <xf numFmtId="0" fontId="151" fillId="33" borderId="222" xfId="45" applyFont="1" applyFill="1" applyBorder="1" applyAlignment="1" applyProtection="1">
      <alignment horizontal="center" wrapText="1"/>
      <protection locked="0"/>
    </xf>
    <xf numFmtId="0" fontId="151" fillId="33" borderId="219" xfId="45" applyFont="1" applyFill="1" applyBorder="1" applyAlignment="1" applyProtection="1">
      <alignment horizontal="center" wrapText="1"/>
      <protection locked="0"/>
    </xf>
    <xf numFmtId="0" fontId="174" fillId="33" borderId="30" xfId="45" applyFont="1" applyFill="1" applyBorder="1" applyAlignment="1" applyProtection="1">
      <alignment horizontal="center"/>
      <protection locked="0"/>
    </xf>
    <xf numFmtId="0" fontId="174" fillId="33" borderId="417" xfId="45" applyFont="1" applyFill="1" applyBorder="1" applyAlignment="1" applyProtection="1">
      <alignment horizontal="center"/>
      <protection locked="0"/>
    </xf>
    <xf numFmtId="0" fontId="175" fillId="33" borderId="417" xfId="45" applyFont="1" applyFill="1" applyBorder="1" applyAlignment="1" applyProtection="1">
      <alignment horizontal="center"/>
      <protection locked="0"/>
    </xf>
    <xf numFmtId="0" fontId="176" fillId="33" borderId="417" xfId="45" applyFont="1" applyFill="1" applyBorder="1" applyAlignment="1" applyProtection="1">
      <alignment horizontal="center"/>
      <protection locked="0"/>
    </xf>
    <xf numFmtId="0" fontId="151" fillId="33" borderId="796" xfId="45" applyFont="1" applyFill="1" applyBorder="1" applyAlignment="1" applyProtection="1">
      <alignment horizontal="center" wrapText="1"/>
      <protection locked="0"/>
    </xf>
    <xf numFmtId="0" fontId="97" fillId="46" borderId="751" xfId="45" applyFont="1" applyFill="1" applyBorder="1" applyAlignment="1">
      <alignment horizontal="center"/>
    </xf>
    <xf numFmtId="2" fontId="97" fillId="33" borderId="751" xfId="45" applyNumberFormat="1" applyFont="1" applyFill="1" applyBorder="1" applyAlignment="1" applyProtection="1">
      <alignment horizontal="center"/>
      <protection locked="0"/>
    </xf>
    <xf numFmtId="4" fontId="97" fillId="7" borderId="751" xfId="45" applyNumberFormat="1" applyFont="1" applyFill="1" applyBorder="1" applyAlignment="1">
      <alignment horizontal="center"/>
    </xf>
    <xf numFmtId="3" fontId="97" fillId="33" borderId="751" xfId="45" applyNumberFormat="1" applyFont="1" applyFill="1" applyBorder="1" applyAlignment="1" applyProtection="1">
      <alignment horizontal="center"/>
      <protection locked="0"/>
    </xf>
    <xf numFmtId="0" fontId="97" fillId="33" borderId="751" xfId="45" applyFont="1" applyFill="1" applyBorder="1" applyAlignment="1" applyProtection="1">
      <alignment horizontal="center"/>
      <protection locked="0"/>
    </xf>
    <xf numFmtId="4" fontId="97" fillId="33" borderId="751" xfId="46" applyNumberFormat="1" applyFont="1" applyFill="1" applyBorder="1" applyAlignment="1" applyProtection="1">
      <alignment horizontal="center"/>
      <protection locked="0"/>
    </xf>
    <xf numFmtId="3" fontId="97" fillId="7" borderId="751" xfId="45" applyNumberFormat="1" applyFont="1" applyFill="1" applyBorder="1" applyAlignment="1">
      <alignment horizontal="center"/>
    </xf>
    <xf numFmtId="170" fontId="97" fillId="33" borderId="751" xfId="45" applyNumberFormat="1" applyFont="1" applyFill="1" applyBorder="1" applyAlignment="1" applyProtection="1">
      <alignment horizontal="center"/>
      <protection locked="0"/>
    </xf>
    <xf numFmtId="170" fontId="97" fillId="60" borderId="751" xfId="45" applyNumberFormat="1" applyFont="1" applyFill="1" applyBorder="1" applyAlignment="1" applyProtection="1">
      <alignment horizontal="center"/>
      <protection locked="0"/>
    </xf>
    <xf numFmtId="4" fontId="97" fillId="33" borderId="751" xfId="45" applyNumberFormat="1" applyFont="1" applyFill="1" applyBorder="1" applyAlignment="1" applyProtection="1">
      <alignment horizontal="center"/>
      <protection locked="0"/>
    </xf>
    <xf numFmtId="4" fontId="97" fillId="7" borderId="751" xfId="46" applyNumberFormat="1" applyFont="1" applyFill="1" applyBorder="1" applyAlignment="1">
      <alignment horizontal="right"/>
    </xf>
    <xf numFmtId="4" fontId="97" fillId="7" borderId="739" xfId="46" applyNumberFormat="1" applyFont="1" applyFill="1" applyBorder="1" applyAlignment="1">
      <alignment horizontal="right"/>
    </xf>
    <xf numFmtId="4" fontId="97" fillId="7" borderId="739" xfId="46" applyNumberFormat="1" applyFont="1" applyFill="1" applyBorder="1" applyAlignment="1"/>
    <xf numFmtId="4" fontId="97" fillId="33" borderId="751" xfId="46" applyNumberFormat="1" applyFont="1" applyFill="1" applyBorder="1" applyAlignment="1" applyProtection="1">
      <protection locked="0"/>
    </xf>
    <xf numFmtId="4" fontId="97" fillId="7" borderId="797" xfId="46" applyNumberFormat="1" applyFont="1" applyFill="1" applyBorder="1" applyAlignment="1"/>
    <xf numFmtId="4" fontId="97" fillId="7" borderId="751" xfId="46" applyNumberFormat="1" applyFont="1" applyFill="1" applyBorder="1" applyAlignment="1"/>
    <xf numFmtId="4" fontId="97" fillId="7" borderId="458" xfId="46" applyNumberFormat="1" applyFont="1" applyFill="1" applyBorder="1" applyAlignment="1"/>
    <xf numFmtId="4" fontId="97" fillId="7" borderId="796" xfId="46" applyNumberFormat="1" applyFont="1" applyFill="1" applyBorder="1" applyAlignment="1"/>
    <xf numFmtId="4" fontId="111" fillId="33" borderId="751" xfId="46" applyNumberFormat="1" applyFont="1" applyFill="1" applyBorder="1" applyAlignment="1" applyProtection="1">
      <protection locked="0"/>
    </xf>
    <xf numFmtId="4" fontId="111" fillId="7" borderId="349" xfId="46" applyNumberFormat="1" applyFont="1" applyFill="1" applyBorder="1" applyAlignment="1"/>
    <xf numFmtId="4" fontId="97" fillId="33" borderId="349" xfId="46" applyNumberFormat="1" applyFont="1" applyFill="1" applyBorder="1" applyAlignment="1" applyProtection="1">
      <alignment horizontal="center"/>
      <protection locked="0"/>
    </xf>
    <xf numFmtId="4" fontId="111" fillId="7" borderId="751" xfId="46" applyNumberFormat="1" applyFont="1" applyFill="1" applyBorder="1" applyAlignment="1" applyProtection="1"/>
    <xf numFmtId="170" fontId="97" fillId="47" borderId="741" xfId="45" applyNumberFormat="1" applyFont="1" applyFill="1" applyBorder="1" applyAlignment="1" applyProtection="1">
      <alignment horizontal="center"/>
      <protection locked="0"/>
    </xf>
    <xf numFmtId="170" fontId="97" fillId="47" borderId="747" xfId="45" applyNumberFormat="1" applyFont="1" applyFill="1" applyBorder="1" applyAlignment="1" applyProtection="1">
      <alignment horizontal="center"/>
      <protection locked="0"/>
    </xf>
    <xf numFmtId="4" fontId="97" fillId="47" borderId="741" xfId="45" applyNumberFormat="1" applyFont="1" applyFill="1" applyBorder="1" applyAlignment="1" applyProtection="1">
      <alignment horizontal="center"/>
      <protection locked="0"/>
    </xf>
    <xf numFmtId="4" fontId="97" fillId="47" borderId="747" xfId="45" applyNumberFormat="1" applyFont="1" applyFill="1" applyBorder="1" applyAlignment="1" applyProtection="1">
      <alignment horizontal="center"/>
      <protection locked="0"/>
    </xf>
    <xf numFmtId="170" fontId="97" fillId="47" borderId="741" xfId="45" applyNumberFormat="1" applyFont="1" applyFill="1" applyBorder="1" applyAlignment="1">
      <alignment horizontal="center"/>
    </xf>
    <xf numFmtId="170" fontId="97" fillId="47" borderId="747" xfId="45" applyNumberFormat="1" applyFont="1" applyFill="1" applyBorder="1" applyAlignment="1">
      <alignment horizontal="center"/>
    </xf>
    <xf numFmtId="4" fontId="97" fillId="47" borderId="741" xfId="45" applyNumberFormat="1" applyFont="1" applyFill="1" applyBorder="1" applyAlignment="1">
      <alignment horizontal="center"/>
    </xf>
    <xf numFmtId="4" fontId="97" fillId="47" borderId="747" xfId="45" applyNumberFormat="1" applyFont="1" applyFill="1" applyBorder="1" applyAlignment="1">
      <alignment horizontal="center"/>
    </xf>
    <xf numFmtId="4" fontId="97" fillId="33" borderId="787" xfId="46" applyNumberFormat="1" applyFont="1" applyFill="1" applyBorder="1" applyAlignment="1" applyProtection="1">
      <protection locked="0"/>
    </xf>
    <xf numFmtId="4" fontId="97" fillId="33" borderId="784" xfId="46" applyNumberFormat="1" applyFont="1" applyFill="1" applyBorder="1" applyAlignment="1" applyProtection="1">
      <protection locked="0"/>
    </xf>
    <xf numFmtId="4" fontId="97" fillId="33" borderId="794" xfId="46" applyNumberFormat="1" applyFont="1" applyFill="1" applyBorder="1" applyAlignment="1" applyProtection="1">
      <protection locked="0"/>
    </xf>
    <xf numFmtId="4" fontId="97" fillId="33" borderId="773" xfId="46" applyNumberFormat="1" applyFont="1" applyFill="1" applyBorder="1" applyAlignment="1" applyProtection="1">
      <protection locked="0"/>
    </xf>
    <xf numFmtId="4" fontId="97" fillId="33" borderId="472" xfId="46" applyNumberFormat="1" applyFont="1" applyFill="1" applyBorder="1" applyAlignment="1" applyProtection="1">
      <protection locked="0"/>
    </xf>
    <xf numFmtId="4" fontId="97" fillId="33" borderId="789" xfId="46" applyNumberFormat="1" applyFont="1" applyFill="1" applyBorder="1" applyAlignment="1" applyProtection="1">
      <protection locked="0"/>
    </xf>
    <xf numFmtId="4" fontId="97" fillId="47" borderId="784" xfId="45" applyNumberFormat="1" applyFont="1" applyFill="1" applyBorder="1" applyAlignment="1">
      <alignment horizontal="center"/>
    </xf>
    <xf numFmtId="4" fontId="97" fillId="47" borderId="794" xfId="45" applyNumberFormat="1" applyFont="1" applyFill="1" applyBorder="1" applyAlignment="1">
      <alignment horizontal="center"/>
    </xf>
    <xf numFmtId="4" fontId="111" fillId="7" borderId="774" xfId="46" applyNumberFormat="1" applyFont="1" applyFill="1" applyBorder="1" applyAlignment="1"/>
    <xf numFmtId="4" fontId="111" fillId="7" borderId="777" xfId="46" applyNumberFormat="1" applyFont="1" applyFill="1" applyBorder="1" applyAlignment="1"/>
    <xf numFmtId="4" fontId="97" fillId="47" borderId="785" xfId="45" applyNumberFormat="1" applyFont="1" applyFill="1" applyBorder="1" applyAlignment="1">
      <alignment horizontal="center"/>
    </xf>
    <xf numFmtId="4" fontId="97" fillId="47" borderId="795" xfId="45" applyNumberFormat="1" applyFont="1" applyFill="1" applyBorder="1" applyAlignment="1">
      <alignment horizontal="center"/>
    </xf>
    <xf numFmtId="0" fontId="3" fillId="33" borderId="371" xfId="0" applyFont="1" applyFill="1" applyBorder="1" applyAlignment="1" applyProtection="1">
      <alignment horizontal="center"/>
      <protection locked="0"/>
    </xf>
    <xf numFmtId="3" fontId="102" fillId="7" borderId="0" xfId="15" applyFont="1" applyFill="1" applyBorder="1" applyAlignment="1" applyProtection="1">
      <alignment horizontal="center"/>
    </xf>
    <xf numFmtId="3" fontId="102" fillId="7" borderId="0" xfId="21" applyNumberFormat="1" applyFont="1" applyFill="1" applyAlignment="1">
      <alignment horizontal="center"/>
    </xf>
    <xf numFmtId="3" fontId="102" fillId="7" borderId="0" xfId="21" applyNumberFormat="1" applyFont="1" applyFill="1"/>
    <xf numFmtId="3" fontId="102" fillId="7" borderId="0" xfId="15" applyFont="1" applyFill="1" applyBorder="1" applyAlignment="1" applyProtection="1"/>
    <xf numFmtId="3" fontId="0" fillId="7" borderId="798" xfId="15" applyFont="1" applyFill="1" applyBorder="1" applyAlignment="1" applyProtection="1"/>
    <xf numFmtId="172" fontId="102" fillId="33" borderId="799" xfId="75" applyNumberFormat="1" applyFont="1" applyFill="1" applyBorder="1" applyAlignment="1" applyProtection="1">
      <alignment horizontal="right"/>
      <protection locked="0"/>
    </xf>
    <xf numFmtId="10" fontId="34" fillId="7" borderId="799" xfId="75" applyNumberFormat="1" applyFont="1" applyFill="1" applyBorder="1" applyAlignment="1" applyProtection="1">
      <alignment horizontal="right"/>
    </xf>
    <xf numFmtId="176" fontId="0" fillId="7" borderId="800" xfId="0" applyNumberFormat="1" applyFill="1" applyBorder="1" applyAlignment="1">
      <alignment horizontal="right"/>
    </xf>
    <xf numFmtId="176" fontId="0" fillId="59" borderId="801" xfId="0" applyNumberFormat="1" applyFill="1" applyBorder="1" applyAlignment="1">
      <alignment horizontal="right"/>
    </xf>
    <xf numFmtId="3" fontId="174" fillId="33" borderId="349" xfId="45" applyNumberFormat="1" applyFont="1" applyFill="1" applyBorder="1" applyAlignment="1" applyProtection="1">
      <alignment horizontal="center"/>
      <protection locked="0"/>
    </xf>
    <xf numFmtId="3" fontId="97" fillId="46" borderId="751" xfId="45" applyNumberFormat="1" applyFont="1" applyFill="1" applyBorder="1" applyAlignment="1">
      <alignment horizontal="center"/>
    </xf>
    <xf numFmtId="4" fontId="97" fillId="30" borderId="751" xfId="45" applyNumberFormat="1" applyFont="1" applyFill="1" applyBorder="1" applyAlignment="1">
      <alignment horizontal="center"/>
    </xf>
    <xf numFmtId="4" fontId="97" fillId="30" borderId="739" xfId="46" applyNumberFormat="1" applyFont="1" applyFill="1" applyBorder="1" applyAlignment="1"/>
    <xf numFmtId="4" fontId="97" fillId="30" borderId="58" xfId="46" applyNumberFormat="1" applyFont="1" applyFill="1" applyBorder="1" applyAlignment="1"/>
    <xf numFmtId="4" fontId="97" fillId="30" borderId="802" xfId="46" applyNumberFormat="1" applyFont="1" applyFill="1" applyBorder="1" applyAlignment="1"/>
    <xf numFmtId="4" fontId="97" fillId="30" borderId="458" xfId="46" applyNumberFormat="1" applyFont="1" applyFill="1" applyBorder="1" applyAlignment="1"/>
    <xf numFmtId="4" fontId="97" fillId="30" borderId="58" xfId="46" applyNumberFormat="1" applyFont="1" applyFill="1" applyBorder="1" applyAlignment="1" applyProtection="1">
      <protection locked="0"/>
    </xf>
    <xf numFmtId="4" fontId="97" fillId="33" borderId="803" xfId="46" applyNumberFormat="1" applyFont="1" applyFill="1" applyBorder="1" applyAlignment="1" applyProtection="1">
      <protection locked="0"/>
    </xf>
    <xf numFmtId="4" fontId="97" fillId="30" borderId="751" xfId="46" applyNumberFormat="1" applyFont="1" applyFill="1" applyBorder="1" applyAlignment="1"/>
    <xf numFmtId="4" fontId="97" fillId="30" borderId="797" xfId="46" applyNumberFormat="1" applyFont="1" applyFill="1" applyBorder="1" applyAlignment="1"/>
    <xf numFmtId="4" fontId="97" fillId="33" borderId="352" xfId="110" applyNumberFormat="1" applyFont="1" applyFill="1" applyBorder="1" applyAlignment="1" applyProtection="1">
      <alignment horizontal="center"/>
      <protection locked="0"/>
    </xf>
    <xf numFmtId="4" fontId="97" fillId="30" borderId="352" xfId="110" applyNumberFormat="1" applyFont="1" applyFill="1" applyBorder="1" applyAlignment="1" applyProtection="1">
      <alignment horizontal="center"/>
    </xf>
    <xf numFmtId="4" fontId="97" fillId="30" borderId="352" xfId="110" applyNumberFormat="1" applyFont="1" applyFill="1" applyBorder="1" applyAlignment="1" applyProtection="1">
      <alignment horizontal="center"/>
      <protection locked="0"/>
    </xf>
    <xf numFmtId="4" fontId="111" fillId="30" borderId="349" xfId="46" applyNumberFormat="1" applyFont="1" applyFill="1" applyBorder="1" applyAlignment="1"/>
    <xf numFmtId="4" fontId="111" fillId="30" borderId="751" xfId="46" applyNumberFormat="1" applyFont="1" applyFill="1" applyBorder="1" applyAlignment="1"/>
    <xf numFmtId="4" fontId="111" fillId="30" borderId="739" xfId="46" applyNumberFormat="1" applyFont="1" applyFill="1" applyBorder="1" applyAlignment="1"/>
    <xf numFmtId="4" fontId="111" fillId="30" borderId="458" xfId="46" applyNumberFormat="1" applyFont="1" applyFill="1" applyBorder="1" applyAlignment="1"/>
    <xf numFmtId="4" fontId="97" fillId="33" borderId="46" xfId="110" applyNumberFormat="1" applyFont="1" applyFill="1" applyBorder="1" applyAlignment="1" applyProtection="1">
      <alignment horizontal="center"/>
      <protection locked="0"/>
    </xf>
    <xf numFmtId="4" fontId="111" fillId="7" borderId="804" xfId="46" applyNumberFormat="1" applyFont="1" applyFill="1" applyBorder="1" applyAlignment="1" applyProtection="1"/>
    <xf numFmtId="4" fontId="152" fillId="10" borderId="349" xfId="46" applyNumberFormat="1" applyFont="1" applyFill="1" applyBorder="1" applyAlignment="1"/>
    <xf numFmtId="0" fontId="151" fillId="33" borderId="786" xfId="45" applyFont="1" applyFill="1" applyBorder="1" applyAlignment="1" applyProtection="1">
      <alignment horizontal="center" wrapText="1"/>
      <protection locked="0"/>
    </xf>
    <xf numFmtId="4" fontId="152" fillId="10" borderId="743" xfId="46" applyNumberFormat="1" applyFont="1" applyFill="1" applyBorder="1" applyAlignment="1"/>
    <xf numFmtId="3" fontId="97" fillId="33" borderId="784" xfId="45" applyNumberFormat="1" applyFont="1" applyFill="1" applyBorder="1" applyAlignment="1" applyProtection="1">
      <alignment horizontal="center"/>
      <protection locked="0"/>
    </xf>
    <xf numFmtId="4" fontId="97" fillId="30" borderId="741" xfId="46" applyNumberFormat="1" applyFont="1" applyFill="1" applyBorder="1" applyAlignment="1" applyProtection="1">
      <alignment horizontal="center"/>
    </xf>
    <xf numFmtId="4" fontId="97" fillId="33" borderId="784" xfId="46" applyNumberFormat="1" applyFont="1" applyFill="1" applyBorder="1" applyAlignment="1" applyProtection="1">
      <alignment horizontal="center"/>
      <protection locked="0"/>
    </xf>
    <xf numFmtId="4" fontId="152" fillId="10" borderId="784" xfId="46" applyNumberFormat="1" applyFont="1" applyFill="1" applyBorder="1" applyAlignment="1"/>
    <xf numFmtId="4" fontId="152" fillId="10" borderId="794" xfId="46" applyNumberFormat="1" applyFont="1" applyFill="1" applyBorder="1" applyAlignment="1"/>
    <xf numFmtId="4" fontId="152" fillId="10" borderId="379" xfId="46" applyNumberFormat="1" applyFont="1" applyFill="1" applyBorder="1" applyAlignment="1"/>
    <xf numFmtId="4" fontId="152" fillId="10" borderId="805" xfId="46" applyNumberFormat="1" applyFont="1" applyFill="1" applyBorder="1" applyAlignment="1"/>
    <xf numFmtId="3" fontId="174" fillId="33" borderId="774" xfId="45" applyNumberFormat="1" applyFont="1" applyFill="1" applyBorder="1" applyAlignment="1" applyProtection="1">
      <alignment horizontal="center"/>
      <protection locked="0"/>
    </xf>
    <xf numFmtId="3" fontId="97" fillId="59" borderId="747" xfId="46" applyNumberFormat="1" applyFont="1" applyFill="1" applyBorder="1" applyAlignment="1">
      <alignment horizontal="right"/>
    </xf>
    <xf numFmtId="3" fontId="111" fillId="7" borderId="747" xfId="46" applyNumberFormat="1" applyFont="1" applyFill="1" applyBorder="1" applyAlignment="1">
      <alignment horizontal="right"/>
    </xf>
    <xf numFmtId="3" fontId="131" fillId="33" borderId="806" xfId="1" applyNumberFormat="1" applyFont="1" applyFill="1" applyBorder="1" applyAlignment="1" applyProtection="1">
      <protection locked="0"/>
    </xf>
    <xf numFmtId="3" fontId="136" fillId="49" borderId="784" xfId="0" applyNumberFormat="1" applyFont="1" applyFill="1" applyBorder="1" applyProtection="1">
      <protection locked="0"/>
    </xf>
    <xf numFmtId="3" fontId="137" fillId="49" borderId="784" xfId="0" applyNumberFormat="1" applyFont="1" applyFill="1" applyBorder="1" applyProtection="1">
      <protection locked="0"/>
    </xf>
    <xf numFmtId="3" fontId="137" fillId="49" borderId="743" xfId="0" applyNumberFormat="1" applyFont="1" applyFill="1" applyBorder="1" applyProtection="1">
      <protection locked="0"/>
    </xf>
    <xf numFmtId="3" fontId="137" fillId="49" borderId="471" xfId="0" applyNumberFormat="1" applyFont="1" applyFill="1" applyBorder="1" applyProtection="1">
      <protection locked="0"/>
    </xf>
    <xf numFmtId="3" fontId="137" fillId="49" borderId="741" xfId="0" applyNumberFormat="1" applyFont="1" applyFill="1" applyBorder="1" applyProtection="1">
      <protection locked="0"/>
    </xf>
    <xf numFmtId="3" fontId="137" fillId="49" borderId="740" xfId="0" applyNumberFormat="1" applyFont="1" applyFill="1" applyBorder="1" applyProtection="1">
      <protection locked="0"/>
    </xf>
    <xf numFmtId="3" fontId="137" fillId="49" borderId="747" xfId="0" applyNumberFormat="1" applyFont="1" applyFill="1" applyBorder="1" applyProtection="1">
      <protection locked="0"/>
    </xf>
    <xf numFmtId="3" fontId="131" fillId="33" borderId="807" xfId="0" applyNumberFormat="1" applyFont="1" applyFill="1" applyBorder="1" applyProtection="1">
      <protection locked="0"/>
    </xf>
    <xf numFmtId="3" fontId="131" fillId="33" borderId="808" xfId="0" applyNumberFormat="1" applyFont="1" applyFill="1" applyBorder="1" applyProtection="1">
      <protection locked="0"/>
    </xf>
    <xf numFmtId="3" fontId="131" fillId="33" borderId="809" xfId="0" applyNumberFormat="1" applyFont="1" applyFill="1" applyBorder="1" applyProtection="1">
      <protection locked="0"/>
    </xf>
    <xf numFmtId="0" fontId="4" fillId="33" borderId="810" xfId="0" applyFont="1" applyFill="1" applyBorder="1" applyProtection="1">
      <protection locked="0"/>
    </xf>
    <xf numFmtId="3" fontId="21" fillId="33" borderId="811" xfId="0" applyNumberFormat="1" applyFont="1" applyFill="1" applyBorder="1" applyProtection="1">
      <protection locked="0"/>
    </xf>
    <xf numFmtId="3" fontId="21" fillId="33" borderId="812" xfId="0" applyNumberFormat="1" applyFont="1" applyFill="1" applyBorder="1" applyProtection="1">
      <protection locked="0"/>
    </xf>
    <xf numFmtId="3" fontId="21" fillId="33" borderId="813" xfId="0" applyNumberFormat="1" applyFont="1" applyFill="1" applyBorder="1" applyProtection="1">
      <protection locked="0"/>
    </xf>
    <xf numFmtId="4" fontId="102" fillId="7" borderId="261" xfId="74" applyFont="1" applyFill="1" applyBorder="1" applyAlignment="1" applyProtection="1">
      <alignment horizontal="right"/>
      <protection locked="0"/>
    </xf>
    <xf numFmtId="4" fontId="102" fillId="7" borderId="208" xfId="75" applyNumberFormat="1" applyFont="1" applyFill="1" applyBorder="1" applyAlignment="1" applyProtection="1">
      <alignment horizontal="right"/>
      <protection locked="0"/>
    </xf>
    <xf numFmtId="4" fontId="102" fillId="33" borderId="208" xfId="75" applyNumberFormat="1" applyFont="1" applyFill="1" applyBorder="1" applyAlignment="1" applyProtection="1">
      <alignment horizontal="right"/>
      <protection locked="0"/>
    </xf>
    <xf numFmtId="4" fontId="102" fillId="33" borderId="220" xfId="0" applyNumberFormat="1" applyFont="1" applyFill="1" applyBorder="1" applyAlignment="1" applyProtection="1">
      <alignment horizontal="right"/>
      <protection locked="0"/>
    </xf>
    <xf numFmtId="4" fontId="102" fillId="33" borderId="266" xfId="0" applyNumberFormat="1" applyFont="1" applyFill="1" applyBorder="1" applyAlignment="1" applyProtection="1">
      <alignment horizontal="right"/>
      <protection locked="0"/>
    </xf>
    <xf numFmtId="3" fontId="97" fillId="43" borderId="743" xfId="46" applyNumberFormat="1" applyFont="1" applyFill="1" applyBorder="1" applyAlignment="1" applyProtection="1"/>
    <xf numFmtId="0" fontId="0" fillId="16" borderId="814" xfId="0" applyFill="1" applyBorder="1" applyAlignment="1">
      <alignment vertical="top" wrapText="1"/>
    </xf>
    <xf numFmtId="0" fontId="0" fillId="16" borderId="742" xfId="0" applyFill="1" applyBorder="1" applyAlignment="1">
      <alignment vertical="top" wrapText="1"/>
    </xf>
    <xf numFmtId="0" fontId="3" fillId="16" borderId="194" xfId="0" applyFont="1" applyFill="1" applyBorder="1" applyAlignment="1">
      <alignment vertical="top" wrapText="1"/>
    </xf>
    <xf numFmtId="0" fontId="0" fillId="16" borderId="194" xfId="0" applyFill="1" applyBorder="1" applyAlignment="1">
      <alignment vertical="top" wrapText="1"/>
    </xf>
    <xf numFmtId="0" fontId="0" fillId="16" borderId="815" xfId="0" applyFill="1" applyBorder="1" applyAlignment="1">
      <alignment vertical="top" wrapText="1"/>
    </xf>
    <xf numFmtId="38" fontId="109" fillId="3" borderId="414" xfId="2" applyFont="1" applyFill="1" applyBorder="1" applyAlignment="1" applyProtection="1">
      <alignment horizontal="center" wrapText="1"/>
    </xf>
    <xf numFmtId="1" fontId="109" fillId="3" borderId="817" xfId="2" applyNumberFormat="1" applyFont="1" applyFill="1" applyBorder="1" applyAlignment="1" applyProtection="1">
      <alignment horizontal="center" vertical="center" wrapText="1"/>
    </xf>
    <xf numFmtId="3" fontId="3" fillId="33" borderId="818" xfId="0" applyNumberFormat="1" applyFont="1" applyFill="1" applyBorder="1" applyAlignment="1" applyProtection="1">
      <alignment horizontal="center"/>
      <protection locked="0"/>
    </xf>
    <xf numFmtId="0" fontId="0" fillId="40" borderId="814" xfId="0" applyFill="1" applyBorder="1"/>
    <xf numFmtId="0" fontId="0" fillId="40" borderId="815" xfId="0" applyFill="1" applyBorder="1"/>
    <xf numFmtId="3" fontId="3" fillId="33" borderId="769" xfId="0" applyNumberFormat="1" applyFont="1" applyFill="1" applyBorder="1" applyProtection="1">
      <protection locked="0"/>
    </xf>
    <xf numFmtId="3" fontId="3" fillId="33" borderId="817" xfId="0" applyNumberFormat="1" applyFont="1" applyFill="1" applyBorder="1" applyProtection="1">
      <protection locked="0"/>
    </xf>
    <xf numFmtId="0" fontId="0" fillId="51" borderId="814" xfId="0" applyFill="1" applyBorder="1"/>
    <xf numFmtId="0" fontId="0" fillId="51" borderId="742" xfId="0" applyFill="1" applyBorder="1"/>
    <xf numFmtId="0" fontId="3" fillId="51" borderId="742" xfId="0" applyFont="1" applyFill="1" applyBorder="1"/>
    <xf numFmtId="0" fontId="0" fillId="51" borderId="194" xfId="0" applyFill="1" applyBorder="1"/>
    <xf numFmtId="3" fontId="3" fillId="33" borderId="819" xfId="0" applyNumberFormat="1" applyFont="1" applyFill="1" applyBorder="1" applyProtection="1">
      <protection locked="0"/>
    </xf>
    <xf numFmtId="3" fontId="3" fillId="33" borderId="352" xfId="2" applyNumberFormat="1" applyFont="1" applyFill="1" applyBorder="1" applyAlignment="1" applyProtection="1">
      <protection locked="0"/>
    </xf>
    <xf numFmtId="3" fontId="3" fillId="33" borderId="352" xfId="72" applyFill="1" applyBorder="1" applyAlignment="1" applyProtection="1">
      <alignment horizontal="right"/>
      <protection locked="0"/>
    </xf>
    <xf numFmtId="3" fontId="3" fillId="33" borderId="608" xfId="72" applyFill="1" applyBorder="1" applyAlignment="1" applyProtection="1">
      <alignment horizontal="right"/>
      <protection locked="0"/>
    </xf>
    <xf numFmtId="3" fontId="3" fillId="33" borderId="740" xfId="2" applyNumberFormat="1" applyFont="1" applyFill="1" applyBorder="1" applyAlignment="1" applyProtection="1">
      <protection locked="0"/>
    </xf>
    <xf numFmtId="3" fontId="3" fillId="33" borderId="740" xfId="72" applyFill="1" applyBorder="1" applyAlignment="1" applyProtection="1">
      <alignment horizontal="right"/>
      <protection locked="0"/>
    </xf>
    <xf numFmtId="3" fontId="3" fillId="33" borderId="820" xfId="72" applyFill="1" applyBorder="1" applyAlignment="1" applyProtection="1">
      <alignment horizontal="right"/>
      <protection locked="0"/>
    </xf>
    <xf numFmtId="0" fontId="0" fillId="53" borderId="557" xfId="0" applyFill="1" applyBorder="1" applyAlignment="1">
      <alignment horizontal="left" wrapText="1"/>
    </xf>
    <xf numFmtId="0" fontId="3" fillId="53" borderId="557" xfId="0" applyFont="1" applyFill="1" applyBorder="1"/>
    <xf numFmtId="0" fontId="0" fillId="53" borderId="742" xfId="0" applyFill="1" applyBorder="1"/>
    <xf numFmtId="0" fontId="0" fillId="53" borderId="815" xfId="0" applyFill="1" applyBorder="1" applyAlignment="1">
      <alignment wrapText="1"/>
    </xf>
    <xf numFmtId="0" fontId="0" fillId="33" borderId="819" xfId="0" applyFill="1" applyBorder="1" applyAlignment="1" applyProtection="1">
      <alignment wrapText="1"/>
      <protection locked="0"/>
    </xf>
    <xf numFmtId="3" fontId="3" fillId="33" borderId="352" xfId="72" applyFill="1" applyBorder="1" applyAlignment="1" applyProtection="1">
      <protection locked="0"/>
    </xf>
    <xf numFmtId="3" fontId="3" fillId="33" borderId="608" xfId="2" applyNumberFormat="1" applyFont="1" applyFill="1" applyBorder="1" applyAlignment="1" applyProtection="1">
      <protection locked="0"/>
    </xf>
    <xf numFmtId="0" fontId="0" fillId="33" borderId="769" xfId="0" applyFill="1" applyBorder="1" applyAlignment="1" applyProtection="1">
      <alignment wrapText="1"/>
      <protection locked="0"/>
    </xf>
    <xf numFmtId="3" fontId="3" fillId="33" borderId="740" xfId="72" applyFill="1" applyBorder="1" applyAlignment="1" applyProtection="1">
      <protection locked="0"/>
    </xf>
    <xf numFmtId="3" fontId="3" fillId="33" borderId="820" xfId="2" applyNumberFormat="1" applyFont="1" applyFill="1" applyBorder="1" applyAlignment="1" applyProtection="1">
      <protection locked="0"/>
    </xf>
    <xf numFmtId="3" fontId="3" fillId="33" borderId="769" xfId="2" applyNumberFormat="1" applyFont="1" applyFill="1" applyBorder="1" applyAlignment="1" applyProtection="1">
      <protection locked="0"/>
    </xf>
    <xf numFmtId="3" fontId="3" fillId="33" borderId="820" xfId="72" applyFill="1" applyBorder="1" applyAlignment="1" applyProtection="1">
      <protection locked="0"/>
    </xf>
    <xf numFmtId="0" fontId="0" fillId="7" borderId="823" xfId="0" applyFill="1" applyBorder="1"/>
    <xf numFmtId="0" fontId="0" fillId="7" borderId="170" xfId="0" applyFill="1" applyBorder="1" applyAlignment="1">
      <alignment vertical="center"/>
    </xf>
    <xf numFmtId="0" fontId="0" fillId="7" borderId="824" xfId="0" applyFill="1" applyBorder="1"/>
    <xf numFmtId="3" fontId="3" fillId="33" borderId="826" xfId="2" applyNumberFormat="1" applyFont="1" applyFill="1" applyBorder="1" applyAlignment="1" applyProtection="1">
      <protection locked="0"/>
    </xf>
    <xf numFmtId="3" fontId="3" fillId="33" borderId="827" xfId="2" applyNumberFormat="1" applyFont="1" applyFill="1" applyBorder="1" applyAlignment="1" applyProtection="1">
      <protection locked="0"/>
    </xf>
    <xf numFmtId="3" fontId="3" fillId="33" borderId="828" xfId="2" applyNumberFormat="1" applyFont="1" applyFill="1" applyBorder="1" applyAlignment="1" applyProtection="1">
      <protection locked="0"/>
    </xf>
    <xf numFmtId="3" fontId="3" fillId="33" borderId="827" xfId="72" applyFill="1" applyBorder="1" applyAlignment="1" applyProtection="1">
      <protection locked="0"/>
    </xf>
    <xf numFmtId="3" fontId="3" fillId="33" borderId="830" xfId="72" applyFill="1" applyBorder="1" applyAlignment="1" applyProtection="1">
      <protection locked="0"/>
    </xf>
    <xf numFmtId="0" fontId="68" fillId="10" borderId="832" xfId="0" applyFont="1" applyFill="1" applyBorder="1"/>
    <xf numFmtId="0" fontId="68" fillId="10" borderId="833" xfId="0" applyFont="1" applyFill="1" applyBorder="1"/>
    <xf numFmtId="0" fontId="68" fillId="10" borderId="834" xfId="0" applyFont="1" applyFill="1" applyBorder="1"/>
    <xf numFmtId="3" fontId="0" fillId="7" borderId="824" xfId="15" applyFont="1" applyFill="1" applyBorder="1" applyAlignment="1" applyProtection="1"/>
    <xf numFmtId="0" fontId="68" fillId="10" borderId="833" xfId="0" applyFont="1" applyFill="1" applyBorder="1" applyAlignment="1">
      <alignment vertical="center"/>
    </xf>
    <xf numFmtId="0" fontId="68" fillId="10" borderId="748" xfId="0" applyFont="1" applyFill="1" applyBorder="1"/>
    <xf numFmtId="0" fontId="69" fillId="9" borderId="835" xfId="0" applyFont="1" applyFill="1" applyBorder="1"/>
    <xf numFmtId="0" fontId="2" fillId="7" borderId="834" xfId="0" applyFont="1" applyFill="1" applyBorder="1"/>
    <xf numFmtId="0" fontId="66" fillId="10" borderId="833" xfId="0" applyFont="1" applyFill="1" applyBorder="1"/>
    <xf numFmtId="3" fontId="94" fillId="7" borderId="836" xfId="15" applyFont="1" applyFill="1" applyBorder="1" applyAlignment="1" applyProtection="1"/>
    <xf numFmtId="0" fontId="94" fillId="7" borderId="837" xfId="0" applyFont="1" applyFill="1" applyBorder="1"/>
    <xf numFmtId="0" fontId="94" fillId="7" borderId="838" xfId="0" applyFont="1" applyFill="1" applyBorder="1"/>
    <xf numFmtId="0" fontId="66" fillId="10" borderId="834" xfId="0" applyFont="1" applyFill="1" applyBorder="1"/>
    <xf numFmtId="3" fontId="26" fillId="7" borderId="839" xfId="15" applyFont="1" applyFill="1" applyBorder="1" applyAlignment="1" applyProtection="1"/>
    <xf numFmtId="3" fontId="66" fillId="10" borderId="825" xfId="15" applyFont="1" applyFill="1" applyBorder="1" applyAlignment="1" applyProtection="1"/>
    <xf numFmtId="3" fontId="3" fillId="33" borderId="841" xfId="2" applyNumberFormat="1" applyFont="1" applyFill="1" applyBorder="1" applyAlignment="1" applyProtection="1">
      <protection locked="0"/>
    </xf>
    <xf numFmtId="3" fontId="3" fillId="33" borderId="842" xfId="2" applyNumberFormat="1" applyFont="1" applyFill="1" applyBorder="1" applyAlignment="1" applyProtection="1">
      <protection locked="0"/>
    </xf>
    <xf numFmtId="3" fontId="3" fillId="33" borderId="843" xfId="2" applyNumberFormat="1" applyFont="1" applyFill="1" applyBorder="1" applyAlignment="1" applyProtection="1">
      <protection locked="0"/>
    </xf>
    <xf numFmtId="3" fontId="68" fillId="10" borderId="844" xfId="0" applyNumberFormat="1" applyFont="1" applyFill="1" applyBorder="1"/>
    <xf numFmtId="3" fontId="3" fillId="33" borderId="845" xfId="72" applyFill="1" applyBorder="1" applyAlignment="1" applyProtection="1">
      <protection locked="0"/>
    </xf>
    <xf numFmtId="3" fontId="3" fillId="33" borderId="842" xfId="72" applyFill="1" applyBorder="1" applyAlignment="1" applyProtection="1">
      <protection locked="0"/>
    </xf>
    <xf numFmtId="3" fontId="68" fillId="10" borderId="846" xfId="0" applyNumberFormat="1" applyFont="1" applyFill="1" applyBorder="1"/>
    <xf numFmtId="3" fontId="66" fillId="10" borderId="846" xfId="0" applyNumberFormat="1" applyFont="1" applyFill="1" applyBorder="1" applyAlignment="1">
      <alignment vertical="center"/>
    </xf>
    <xf numFmtId="3" fontId="68" fillId="10" borderId="847" xfId="0" applyNumberFormat="1" applyFont="1" applyFill="1" applyBorder="1"/>
    <xf numFmtId="3" fontId="69" fillId="9" borderId="848" xfId="15" applyFont="1" applyFill="1" applyBorder="1" applyAlignment="1" applyProtection="1"/>
    <xf numFmtId="3" fontId="26" fillId="7" borderId="844" xfId="15" applyFont="1" applyFill="1" applyBorder="1" applyAlignment="1" applyProtection="1"/>
    <xf numFmtId="3" fontId="3" fillId="33" borderId="799" xfId="2" applyNumberFormat="1" applyFont="1" applyFill="1" applyBorder="1" applyAlignment="1" applyProtection="1">
      <protection locked="0"/>
    </xf>
    <xf numFmtId="3" fontId="66" fillId="10" borderId="846" xfId="15" applyFont="1" applyFill="1" applyBorder="1" applyAlignment="1" applyProtection="1"/>
    <xf numFmtId="3" fontId="3" fillId="33" borderId="849" xfId="2" applyNumberFormat="1" applyFont="1" applyFill="1" applyBorder="1" applyAlignment="1" applyProtection="1">
      <protection locked="0"/>
    </xf>
    <xf numFmtId="3" fontId="2" fillId="33" borderId="843" xfId="2" applyNumberFormat="1" applyFont="1" applyFill="1" applyBorder="1" applyAlignment="1" applyProtection="1">
      <protection locked="0"/>
    </xf>
    <xf numFmtId="3" fontId="68" fillId="10" borderId="846" xfId="15" applyFont="1" applyFill="1" applyBorder="1" applyAlignment="1" applyProtection="1"/>
    <xf numFmtId="3" fontId="66" fillId="10" borderId="847" xfId="15" applyFont="1" applyFill="1" applyBorder="1" applyAlignment="1" applyProtection="1"/>
    <xf numFmtId="3" fontId="3" fillId="33" borderId="850" xfId="2" applyNumberFormat="1" applyFont="1" applyFill="1" applyBorder="1" applyAlignment="1" applyProtection="1">
      <protection locked="0"/>
    </xf>
    <xf numFmtId="0" fontId="3" fillId="33" borderId="430" xfId="0" applyFont="1" applyFill="1" applyBorder="1" applyProtection="1">
      <protection locked="0"/>
    </xf>
    <xf numFmtId="3" fontId="3" fillId="33" borderId="851" xfId="2" applyNumberFormat="1" applyFont="1" applyFill="1" applyBorder="1" applyAlignment="1" applyProtection="1">
      <protection locked="0"/>
    </xf>
    <xf numFmtId="3" fontId="66" fillId="10" borderId="844" xfId="15" applyFont="1" applyFill="1" applyBorder="1" applyAlignment="1" applyProtection="1"/>
    <xf numFmtId="3" fontId="109" fillId="3" borderId="184" xfId="15" applyFont="1" applyFill="1" applyBorder="1" applyAlignment="1" applyProtection="1">
      <alignment horizontal="center" wrapText="1"/>
    </xf>
    <xf numFmtId="1" fontId="109" fillId="3" borderId="852" xfId="15" applyNumberFormat="1" applyFont="1" applyFill="1" applyBorder="1" applyAlignment="1" applyProtection="1">
      <alignment horizontal="center" vertical="top" wrapText="1"/>
    </xf>
    <xf numFmtId="3" fontId="3" fillId="7" borderId="46" xfId="0" applyNumberFormat="1" applyFont="1" applyFill="1" applyBorder="1" applyAlignment="1">
      <alignment horizontal="center"/>
    </xf>
    <xf numFmtId="2" fontId="3" fillId="16" borderId="853" xfId="26" applyNumberFormat="1" applyFont="1" applyFill="1" applyBorder="1" applyAlignment="1" applyProtection="1">
      <alignment horizontal="center" vertical="top" wrapText="1"/>
    </xf>
    <xf numFmtId="1" fontId="109" fillId="3" borderId="280" xfId="15" applyNumberFormat="1" applyFont="1" applyFill="1" applyBorder="1" applyAlignment="1" applyProtection="1">
      <alignment horizontal="center" vertical="center" wrapText="1"/>
    </xf>
    <xf numFmtId="1" fontId="109" fillId="3" borderId="57" xfId="15" applyNumberFormat="1" applyFont="1" applyFill="1" applyBorder="1" applyAlignment="1" applyProtection="1">
      <alignment horizontal="center" vertical="top" wrapText="1"/>
    </xf>
    <xf numFmtId="1" fontId="16" fillId="16" borderId="854" xfId="15" applyNumberFormat="1" applyFont="1" applyFill="1" applyBorder="1" applyAlignment="1" applyProtection="1">
      <alignment horizontal="center" vertical="top" wrapText="1"/>
    </xf>
    <xf numFmtId="0" fontId="16" fillId="16" borderId="816" xfId="0" applyFont="1" applyFill="1" applyBorder="1" applyAlignment="1">
      <alignment horizontal="center" vertical="top" wrapText="1"/>
    </xf>
    <xf numFmtId="0" fontId="16" fillId="16" borderId="840" xfId="0" applyFont="1" applyFill="1" applyBorder="1" applyAlignment="1">
      <alignment horizontal="center" vertical="top" wrapText="1"/>
    </xf>
    <xf numFmtId="0" fontId="16" fillId="16" borderId="855" xfId="0" applyFont="1" applyFill="1" applyBorder="1" applyAlignment="1">
      <alignment horizontal="center" vertical="top" wrapText="1"/>
    </xf>
    <xf numFmtId="3" fontId="109" fillId="3" borderId="856" xfId="15" applyFont="1" applyFill="1" applyBorder="1" applyAlignment="1" applyProtection="1">
      <alignment horizontal="center" vertical="center" wrapText="1"/>
    </xf>
    <xf numFmtId="1" fontId="109" fillId="3" borderId="858" xfId="15" applyNumberFormat="1" applyFont="1" applyFill="1" applyBorder="1" applyAlignment="1" applyProtection="1">
      <alignment horizontal="center" vertical="center" wrapText="1"/>
    </xf>
    <xf numFmtId="1" fontId="3" fillId="16" borderId="859" xfId="15" applyNumberFormat="1" applyFont="1" applyFill="1" applyBorder="1" applyAlignment="1" applyProtection="1">
      <alignment horizontal="center" vertical="top" wrapText="1"/>
    </xf>
    <xf numFmtId="2" fontId="3" fillId="16" borderId="860" xfId="26" applyNumberFormat="1" applyFont="1" applyFill="1" applyBorder="1" applyAlignment="1" applyProtection="1">
      <alignment horizontal="center" vertical="top" wrapText="1"/>
    </xf>
    <xf numFmtId="1" fontId="3" fillId="16" borderId="861" xfId="15" applyNumberFormat="1" applyFont="1" applyFill="1" applyBorder="1" applyAlignment="1" applyProtection="1">
      <alignment horizontal="center" vertical="top" wrapText="1"/>
    </xf>
    <xf numFmtId="1" fontId="3" fillId="16" borderId="860" xfId="15" applyNumberFormat="1" applyFont="1" applyFill="1" applyBorder="1" applyAlignment="1" applyProtection="1">
      <alignment horizontal="center" vertical="top" wrapText="1"/>
    </xf>
    <xf numFmtId="2" fontId="3" fillId="16" borderId="862" xfId="15" applyNumberFormat="1" applyFont="1" applyFill="1" applyBorder="1" applyAlignment="1" applyProtection="1">
      <alignment horizontal="center" vertical="top" wrapText="1"/>
    </xf>
    <xf numFmtId="2" fontId="3" fillId="72" borderId="863" xfId="15" applyNumberFormat="1" applyFont="1" applyFill="1" applyBorder="1" applyAlignment="1" applyProtection="1">
      <alignment horizontal="center" vertical="top" wrapText="1"/>
      <protection locked="0"/>
    </xf>
    <xf numFmtId="2" fontId="3" fillId="7" borderId="864" xfId="0" applyNumberFormat="1" applyFont="1" applyFill="1" applyBorder="1" applyAlignment="1">
      <alignment horizontal="center"/>
    </xf>
    <xf numFmtId="2" fontId="3" fillId="33" borderId="864" xfId="0" applyNumberFormat="1" applyFont="1" applyFill="1" applyBorder="1" applyAlignment="1" applyProtection="1">
      <alignment horizontal="center"/>
      <protection locked="0"/>
    </xf>
    <xf numFmtId="2" fontId="3" fillId="7" borderId="865" xfId="0" applyNumberFormat="1" applyFont="1" applyFill="1" applyBorder="1" applyAlignment="1">
      <alignment horizontal="center"/>
    </xf>
    <xf numFmtId="2" fontId="0" fillId="33" borderId="865" xfId="0" applyNumberFormat="1" applyFill="1" applyBorder="1" applyAlignment="1" applyProtection="1">
      <alignment horizontal="center"/>
      <protection locked="0"/>
    </xf>
    <xf numFmtId="3" fontId="19" fillId="50" borderId="821" xfId="2" applyNumberFormat="1" applyFont="1" applyFill="1" applyBorder="1" applyAlignment="1" applyProtection="1"/>
    <xf numFmtId="3" fontId="19" fillId="50" borderId="822" xfId="2" applyNumberFormat="1" applyFont="1" applyFill="1" applyBorder="1" applyAlignment="1" applyProtection="1"/>
    <xf numFmtId="3" fontId="59" fillId="40" borderId="866" xfId="1" applyNumberFormat="1" applyFill="1" applyBorder="1" applyProtection="1"/>
    <xf numFmtId="3" fontId="3" fillId="40" borderId="866" xfId="2" applyNumberFormat="1" applyFont="1" applyFill="1" applyBorder="1" applyAlignment="1" applyProtection="1"/>
    <xf numFmtId="3" fontId="3" fillId="40" borderId="867" xfId="2" applyNumberFormat="1" applyFont="1" applyFill="1" applyBorder="1" applyAlignment="1" applyProtection="1"/>
    <xf numFmtId="3" fontId="19" fillId="52" borderId="821" xfId="2" applyNumberFormat="1" applyFont="1" applyFill="1" applyBorder="1" applyAlignment="1" applyProtection="1"/>
    <xf numFmtId="3" fontId="19" fillId="52" borderId="471" xfId="2" applyNumberFormat="1" applyFont="1" applyFill="1" applyBorder="1" applyAlignment="1" applyProtection="1"/>
    <xf numFmtId="3" fontId="19" fillId="52" borderId="471" xfId="2" applyNumberFormat="1" applyFont="1" applyFill="1" applyBorder="1" applyAlignment="1" applyProtection="1">
      <alignment horizontal="right"/>
    </xf>
    <xf numFmtId="3" fontId="19" fillId="52" borderId="868" xfId="2" applyNumberFormat="1" applyFont="1" applyFill="1" applyBorder="1" applyAlignment="1" applyProtection="1"/>
    <xf numFmtId="3" fontId="3" fillId="51" borderId="866" xfId="0" applyNumberFormat="1" applyFont="1" applyFill="1" applyBorder="1"/>
    <xf numFmtId="3" fontId="3" fillId="51" borderId="866" xfId="2" applyNumberFormat="1" applyFont="1" applyFill="1" applyBorder="1" applyAlignment="1" applyProtection="1">
      <alignment horizontal="right"/>
    </xf>
    <xf numFmtId="3" fontId="3" fillId="51" borderId="869" xfId="2" applyNumberFormat="1" applyFont="1" applyFill="1" applyBorder="1" applyAlignment="1" applyProtection="1">
      <alignment horizontal="right"/>
    </xf>
    <xf numFmtId="3" fontId="3" fillId="51" borderId="869" xfId="2" applyNumberFormat="1" applyFont="1" applyFill="1" applyBorder="1" applyAlignment="1" applyProtection="1"/>
    <xf numFmtId="3" fontId="3" fillId="51" borderId="869" xfId="15" applyFont="1" applyFill="1" applyBorder="1" applyAlignment="1" applyProtection="1">
      <alignment horizontal="right"/>
    </xf>
    <xf numFmtId="3" fontId="3" fillId="51" borderId="869" xfId="15" applyFont="1" applyFill="1" applyBorder="1" applyAlignment="1" applyProtection="1"/>
    <xf numFmtId="3" fontId="102" fillId="51" borderId="869" xfId="15" applyFont="1" applyFill="1" applyBorder="1" applyAlignment="1" applyProtection="1"/>
    <xf numFmtId="3" fontId="3" fillId="51" borderId="867" xfId="15" applyFont="1" applyFill="1" applyBorder="1" applyAlignment="1" applyProtection="1"/>
    <xf numFmtId="3" fontId="102" fillId="51" borderId="867" xfId="15" applyFont="1" applyFill="1" applyBorder="1" applyAlignment="1" applyProtection="1"/>
    <xf numFmtId="1" fontId="105" fillId="53" borderId="870" xfId="0" applyNumberFormat="1" applyFont="1" applyFill="1" applyBorder="1" applyAlignment="1">
      <alignment horizontal="right" wrapText="1"/>
    </xf>
    <xf numFmtId="3" fontId="19" fillId="54" borderId="471" xfId="2" applyNumberFormat="1" applyFont="1" applyFill="1" applyBorder="1" applyAlignment="1" applyProtection="1">
      <alignment horizontal="right"/>
    </xf>
    <xf numFmtId="3" fontId="19" fillId="54" borderId="822" xfId="2" applyNumberFormat="1" applyFont="1" applyFill="1" applyBorder="1" applyAlignment="1" applyProtection="1"/>
    <xf numFmtId="3" fontId="0" fillId="53" borderId="866" xfId="0" applyNumberFormat="1" applyFill="1" applyBorder="1" applyAlignment="1">
      <alignment horizontal="right" wrapText="1"/>
    </xf>
    <xf numFmtId="3" fontId="3" fillId="53" borderId="869" xfId="15" applyFont="1" applyFill="1" applyBorder="1" applyAlignment="1" applyProtection="1">
      <alignment horizontal="right"/>
    </xf>
    <xf numFmtId="3" fontId="3" fillId="53" borderId="869" xfId="15" applyFont="1" applyFill="1" applyBorder="1" applyAlignment="1" applyProtection="1"/>
    <xf numFmtId="3" fontId="102" fillId="53" borderId="869" xfId="15" applyFont="1" applyFill="1" applyBorder="1" applyAlignment="1" applyProtection="1"/>
    <xf numFmtId="3" fontId="3" fillId="53" borderId="867" xfId="2" applyNumberFormat="1" applyFont="1" applyFill="1" applyBorder="1" applyAlignment="1" applyProtection="1"/>
    <xf numFmtId="3" fontId="102" fillId="53" borderId="867" xfId="2" applyNumberFormat="1" applyFont="1" applyFill="1" applyBorder="1" applyAlignment="1" applyProtection="1"/>
    <xf numFmtId="3" fontId="3" fillId="33" borderId="819" xfId="2" applyNumberFormat="1" applyFont="1" applyFill="1" applyBorder="1" applyAlignment="1" applyProtection="1">
      <protection locked="0"/>
    </xf>
    <xf numFmtId="3" fontId="3" fillId="33" borderId="608" xfId="72" applyFill="1" applyBorder="1" applyAlignment="1" applyProtection="1">
      <protection locked="0"/>
    </xf>
    <xf numFmtId="3" fontId="19" fillId="16" borderId="871" xfId="2" applyNumberFormat="1" applyFont="1" applyFill="1" applyBorder="1" applyAlignment="1" applyProtection="1"/>
    <xf numFmtId="3" fontId="19" fillId="16" borderId="831" xfId="2" applyNumberFormat="1" applyFont="1" applyFill="1" applyBorder="1" applyAlignment="1" applyProtection="1"/>
    <xf numFmtId="3" fontId="19" fillId="16" borderId="831" xfId="2" applyNumberFormat="1" applyFont="1" applyFill="1" applyBorder="1" applyAlignment="1" applyProtection="1">
      <alignment horizontal="right"/>
    </xf>
    <xf numFmtId="3" fontId="68" fillId="10" borderId="872" xfId="15" applyFont="1" applyFill="1" applyBorder="1" applyAlignment="1" applyProtection="1"/>
    <xf numFmtId="3" fontId="3" fillId="7" borderId="873" xfId="2" applyNumberFormat="1" applyFont="1" applyFill="1" applyBorder="1" applyAlignment="1" applyProtection="1"/>
    <xf numFmtId="3" fontId="3" fillId="7" borderId="860" xfId="2" applyNumberFormat="1" applyFont="1" applyFill="1" applyBorder="1" applyAlignment="1" applyProtection="1"/>
    <xf numFmtId="3" fontId="59" fillId="7" borderId="860" xfId="1" applyNumberFormat="1" applyFill="1" applyBorder="1" applyAlignment="1" applyProtection="1"/>
    <xf numFmtId="3" fontId="3" fillId="7" borderId="861" xfId="2" applyNumberFormat="1" applyFont="1" applyFill="1" applyBorder="1" applyAlignment="1" applyProtection="1"/>
    <xf numFmtId="3" fontId="3" fillId="7" borderId="860" xfId="15" applyFont="1" applyFill="1" applyBorder="1" applyAlignment="1" applyProtection="1"/>
    <xf numFmtId="3" fontId="3" fillId="7" borderId="869" xfId="15" applyFont="1" applyFill="1" applyBorder="1" applyAlignment="1" applyProtection="1"/>
    <xf numFmtId="3" fontId="3" fillId="7" borderId="874" xfId="2" applyNumberFormat="1" applyFont="1" applyFill="1" applyBorder="1" applyAlignment="1" applyProtection="1"/>
    <xf numFmtId="3" fontId="3" fillId="7" borderId="875" xfId="2" applyNumberFormat="1" applyFont="1" applyFill="1" applyBorder="1" applyAlignment="1" applyProtection="1"/>
    <xf numFmtId="3" fontId="3" fillId="7" borderId="869" xfId="2" applyNumberFormat="1" applyFont="1" applyFill="1" applyBorder="1" applyAlignment="1" applyProtection="1">
      <alignment horizontal="right"/>
    </xf>
    <xf numFmtId="3" fontId="3" fillId="7" borderId="860" xfId="2" applyNumberFormat="1" applyFont="1" applyFill="1" applyBorder="1" applyAlignment="1" applyProtection="1">
      <alignment horizontal="right"/>
    </xf>
    <xf numFmtId="3" fontId="3" fillId="7" borderId="867" xfId="15" applyFont="1" applyFill="1" applyBorder="1" applyAlignment="1" applyProtection="1"/>
    <xf numFmtId="3" fontId="3" fillId="7" borderId="876" xfId="2" applyNumberFormat="1" applyFont="1" applyFill="1" applyBorder="1" applyAlignment="1" applyProtection="1"/>
    <xf numFmtId="3" fontId="3" fillId="33" borderId="853" xfId="2" applyNumberFormat="1" applyFont="1" applyFill="1" applyBorder="1" applyAlignment="1" applyProtection="1">
      <protection locked="0"/>
    </xf>
    <xf numFmtId="3" fontId="3" fillId="33" borderId="839" xfId="2" applyNumberFormat="1" applyFont="1" applyFill="1" applyBorder="1" applyAlignment="1" applyProtection="1">
      <protection locked="0"/>
    </xf>
    <xf numFmtId="3" fontId="19" fillId="16" borderId="57" xfId="2" applyNumberFormat="1" applyFont="1" applyFill="1" applyBorder="1" applyAlignment="1" applyProtection="1"/>
    <xf numFmtId="3" fontId="3" fillId="7" borderId="877" xfId="2" applyNumberFormat="1" applyFont="1" applyFill="1" applyBorder="1" applyAlignment="1" applyProtection="1"/>
    <xf numFmtId="3" fontId="3" fillId="7" borderId="878" xfId="2" applyNumberFormat="1" applyFont="1" applyFill="1" applyBorder="1" applyAlignment="1" applyProtection="1"/>
    <xf numFmtId="3" fontId="3" fillId="7" borderId="879" xfId="2" applyNumberFormat="1" applyFont="1" applyFill="1" applyBorder="1" applyAlignment="1" applyProtection="1"/>
    <xf numFmtId="3" fontId="3" fillId="7" borderId="880" xfId="2" applyNumberFormat="1" applyFont="1" applyFill="1" applyBorder="1" applyAlignment="1" applyProtection="1"/>
    <xf numFmtId="3" fontId="3" fillId="33" borderId="853" xfId="15" applyFont="1" applyFill="1" applyBorder="1" applyAlignment="1" applyProtection="1">
      <protection locked="0"/>
    </xf>
    <xf numFmtId="3" fontId="3" fillId="33" borderId="881" xfId="15" applyFont="1" applyFill="1" applyBorder="1" applyAlignment="1" applyProtection="1">
      <protection locked="0"/>
    </xf>
    <xf numFmtId="3" fontId="66" fillId="10" borderId="872" xfId="15" applyFont="1" applyFill="1" applyBorder="1" applyAlignment="1" applyProtection="1"/>
    <xf numFmtId="3" fontId="3" fillId="7" borderId="873" xfId="15" applyFont="1" applyFill="1" applyBorder="1" applyAlignment="1" applyProtection="1"/>
    <xf numFmtId="3" fontId="3" fillId="7" borderId="876" xfId="15" applyFont="1" applyFill="1" applyBorder="1" applyAlignment="1" applyProtection="1"/>
    <xf numFmtId="3" fontId="3" fillId="33" borderId="882" xfId="2" applyNumberFormat="1" applyFont="1" applyFill="1" applyBorder="1" applyAlignment="1" applyProtection="1">
      <protection locked="0"/>
    </xf>
    <xf numFmtId="3" fontId="3" fillId="33" borderId="881" xfId="72" applyFill="1" applyBorder="1" applyAlignment="1" applyProtection="1">
      <protection locked="0"/>
    </xf>
    <xf numFmtId="3" fontId="68" fillId="10" borderId="883" xfId="15" applyFont="1" applyFill="1" applyBorder="1" applyAlignment="1" applyProtection="1"/>
    <xf numFmtId="3" fontId="3" fillId="7" borderId="884" xfId="2" applyNumberFormat="1" applyFont="1" applyFill="1" applyBorder="1" applyAlignment="1" applyProtection="1"/>
    <xf numFmtId="3" fontId="3" fillId="7" borderId="880" xfId="15" applyFont="1" applyFill="1" applyBorder="1" applyAlignment="1" applyProtection="1"/>
    <xf numFmtId="3" fontId="3" fillId="33" borderId="881" xfId="2" applyNumberFormat="1" applyFont="1" applyFill="1" applyBorder="1" applyAlignment="1" applyProtection="1">
      <protection locked="0"/>
    </xf>
    <xf numFmtId="3" fontId="68" fillId="10" borderId="839" xfId="0" applyNumberFormat="1" applyFont="1" applyFill="1" applyBorder="1"/>
    <xf numFmtId="3" fontId="3" fillId="33" borderId="885" xfId="72" applyFill="1" applyBorder="1" applyAlignment="1" applyProtection="1">
      <protection locked="0"/>
    </xf>
    <xf numFmtId="3" fontId="68" fillId="10" borderId="886" xfId="0" applyNumberFormat="1" applyFont="1" applyFill="1" applyBorder="1"/>
    <xf numFmtId="3" fontId="66" fillId="10" borderId="886" xfId="0" applyNumberFormat="1" applyFont="1" applyFill="1" applyBorder="1" applyAlignment="1">
      <alignment vertical="center"/>
    </xf>
    <xf numFmtId="3" fontId="68" fillId="10" borderId="887" xfId="0" applyNumberFormat="1" applyFont="1" applyFill="1" applyBorder="1"/>
    <xf numFmtId="3" fontId="69" fillId="9" borderId="888" xfId="15" applyFont="1" applyFill="1" applyBorder="1" applyAlignment="1" applyProtection="1"/>
    <xf numFmtId="3" fontId="3" fillId="33" borderId="889" xfId="2" applyNumberFormat="1" applyFont="1" applyFill="1" applyBorder="1" applyAlignment="1" applyProtection="1">
      <protection locked="0"/>
    </xf>
    <xf numFmtId="3" fontId="66" fillId="10" borderId="886" xfId="15" applyFont="1" applyFill="1" applyBorder="1" applyAlignment="1" applyProtection="1"/>
    <xf numFmtId="3" fontId="2" fillId="33" borderId="881" xfId="2" applyNumberFormat="1" applyFont="1" applyFill="1" applyBorder="1" applyAlignment="1" applyProtection="1">
      <protection locked="0"/>
    </xf>
    <xf numFmtId="3" fontId="68" fillId="10" borderId="886" xfId="15" applyFont="1" applyFill="1" applyBorder="1" applyAlignment="1" applyProtection="1"/>
    <xf numFmtId="3" fontId="66" fillId="10" borderId="887" xfId="15" applyFont="1" applyFill="1" applyBorder="1" applyAlignment="1" applyProtection="1"/>
    <xf numFmtId="3" fontId="3" fillId="33" borderId="890" xfId="2" applyNumberFormat="1" applyFont="1" applyFill="1" applyBorder="1" applyAlignment="1" applyProtection="1">
      <protection locked="0"/>
    </xf>
    <xf numFmtId="0" fontId="3" fillId="33" borderId="0" xfId="0" applyFont="1" applyFill="1" applyProtection="1">
      <protection locked="0"/>
    </xf>
    <xf numFmtId="3" fontId="3" fillId="33" borderId="891" xfId="2" applyNumberFormat="1" applyFont="1" applyFill="1" applyBorder="1" applyAlignment="1" applyProtection="1">
      <protection locked="0"/>
    </xf>
    <xf numFmtId="3" fontId="0" fillId="16" borderId="831" xfId="2" applyNumberFormat="1" applyFont="1" applyFill="1" applyBorder="1" applyAlignment="1" applyProtection="1"/>
    <xf numFmtId="3" fontId="0" fillId="16" borderId="825" xfId="2" applyNumberFormat="1" applyFont="1" applyFill="1" applyBorder="1" applyAlignment="1" applyProtection="1"/>
    <xf numFmtId="3" fontId="66" fillId="18" borderId="57" xfId="2" applyNumberFormat="1" applyFont="1" applyFill="1" applyBorder="1" applyAlignment="1" applyProtection="1"/>
    <xf numFmtId="3" fontId="0" fillId="16" borderId="892" xfId="2" applyNumberFormat="1" applyFont="1" applyFill="1" applyBorder="1" applyAlignment="1" applyProtection="1"/>
    <xf numFmtId="3" fontId="0" fillId="16" borderId="829" xfId="2" applyNumberFormat="1" applyFont="1" applyFill="1" applyBorder="1" applyAlignment="1" applyProtection="1"/>
    <xf numFmtId="3" fontId="66" fillId="18" borderId="893" xfId="2" applyNumberFormat="1" applyFont="1" applyFill="1" applyBorder="1" applyAlignment="1" applyProtection="1"/>
    <xf numFmtId="3" fontId="66" fillId="10" borderId="852" xfId="2" applyNumberFormat="1" applyFont="1" applyFill="1" applyBorder="1" applyAlignment="1" applyProtection="1"/>
    <xf numFmtId="3" fontId="0" fillId="7" borderId="839" xfId="2" applyNumberFormat="1" applyFont="1" applyFill="1" applyBorder="1" applyAlignment="1" applyProtection="1"/>
    <xf numFmtId="3" fontId="66" fillId="10" borderId="57" xfId="2" applyNumberFormat="1" applyFont="1" applyFill="1" applyBorder="1" applyAlignment="1" applyProtection="1"/>
    <xf numFmtId="3" fontId="0" fillId="16" borderId="816" xfId="2" applyNumberFormat="1" applyFont="1" applyFill="1" applyBorder="1" applyAlignment="1" applyProtection="1"/>
    <xf numFmtId="3" fontId="66" fillId="10" borderId="893" xfId="2" applyNumberFormat="1" applyFont="1" applyFill="1" applyBorder="1" applyAlignment="1" applyProtection="1"/>
    <xf numFmtId="3" fontId="0" fillId="16" borderId="894" xfId="2" applyNumberFormat="1" applyFont="1" applyFill="1" applyBorder="1" applyAlignment="1" applyProtection="1"/>
    <xf numFmtId="3" fontId="2" fillId="7" borderId="0" xfId="15" applyFont="1" applyFill="1" applyBorder="1" applyAlignment="1" applyProtection="1"/>
    <xf numFmtId="3" fontId="3" fillId="7" borderId="895" xfId="2" applyNumberFormat="1" applyFont="1" applyFill="1" applyBorder="1" applyAlignment="1" applyProtection="1"/>
    <xf numFmtId="3" fontId="3" fillId="7" borderId="896" xfId="2" applyNumberFormat="1" applyFont="1" applyFill="1" applyBorder="1" applyAlignment="1" applyProtection="1"/>
    <xf numFmtId="3" fontId="68" fillId="10" borderId="897" xfId="0" applyNumberFormat="1" applyFont="1" applyFill="1" applyBorder="1"/>
    <xf numFmtId="3" fontId="3" fillId="7" borderId="898" xfId="15" applyFont="1" applyFill="1" applyBorder="1" applyAlignment="1" applyProtection="1"/>
    <xf numFmtId="3" fontId="3" fillId="7" borderId="895" xfId="15" applyFont="1" applyFill="1" applyBorder="1" applyAlignment="1" applyProtection="1"/>
    <xf numFmtId="3" fontId="68" fillId="10" borderId="899" xfId="0" applyNumberFormat="1" applyFont="1" applyFill="1" applyBorder="1"/>
    <xf numFmtId="3" fontId="66" fillId="10" borderId="899" xfId="0" applyNumberFormat="1" applyFont="1" applyFill="1" applyBorder="1" applyAlignment="1">
      <alignment vertical="center"/>
    </xf>
    <xf numFmtId="3" fontId="68" fillId="10" borderId="900" xfId="0" applyNumberFormat="1" applyFont="1" applyFill="1" applyBorder="1"/>
    <xf numFmtId="3" fontId="69" fillId="9" borderId="901" xfId="15" applyFont="1" applyFill="1" applyBorder="1" applyAlignment="1" applyProtection="1"/>
    <xf numFmtId="3" fontId="26" fillId="7" borderId="897" xfId="15" applyFont="1" applyFill="1" applyBorder="1" applyAlignment="1" applyProtection="1"/>
    <xf numFmtId="3" fontId="27" fillId="7" borderId="897" xfId="15" applyFont="1" applyFill="1" applyBorder="1" applyAlignment="1" applyProtection="1"/>
    <xf numFmtId="3" fontId="3" fillId="33" borderId="895" xfId="2" applyNumberFormat="1" applyFont="1" applyFill="1" applyBorder="1" applyAlignment="1" applyProtection="1">
      <protection locked="0"/>
    </xf>
    <xf numFmtId="3" fontId="3" fillId="33" borderId="861" xfId="2" applyNumberFormat="1" applyFont="1" applyFill="1" applyBorder="1" applyAlignment="1" applyProtection="1">
      <protection locked="0"/>
    </xf>
    <xf numFmtId="3" fontId="66" fillId="10" borderId="899" xfId="15" applyFont="1" applyFill="1" applyBorder="1" applyAlignment="1" applyProtection="1"/>
    <xf numFmtId="3" fontId="3" fillId="33" borderId="874" xfId="2" applyNumberFormat="1" applyFont="1" applyFill="1" applyBorder="1" applyAlignment="1" applyProtection="1">
      <protection locked="0"/>
    </xf>
    <xf numFmtId="3" fontId="2" fillId="33" borderId="896" xfId="2" applyNumberFormat="1" applyFont="1" applyFill="1" applyBorder="1" applyAlignment="1" applyProtection="1">
      <protection locked="0"/>
    </xf>
    <xf numFmtId="3" fontId="68" fillId="10" borderId="899" xfId="15" applyFont="1" applyFill="1" applyBorder="1" applyAlignment="1" applyProtection="1"/>
    <xf numFmtId="3" fontId="66" fillId="10" borderId="900" xfId="15" applyFont="1" applyFill="1" applyBorder="1" applyAlignment="1" applyProtection="1"/>
    <xf numFmtId="3" fontId="3" fillId="7" borderId="902" xfId="2" applyNumberFormat="1" applyFont="1" applyFill="1" applyBorder="1" applyAlignment="1" applyProtection="1"/>
    <xf numFmtId="0" fontId="3" fillId="33" borderId="858" xfId="0" applyFont="1" applyFill="1" applyBorder="1" applyProtection="1">
      <protection locked="0"/>
    </xf>
    <xf numFmtId="3" fontId="3" fillId="33" borderId="876" xfId="2" applyNumberFormat="1" applyFont="1" applyFill="1" applyBorder="1" applyAlignment="1" applyProtection="1">
      <protection locked="0"/>
    </xf>
    <xf numFmtId="0" fontId="85" fillId="7" borderId="557" xfId="45" applyFont="1" applyFill="1" applyBorder="1" applyAlignment="1">
      <alignment horizontal="left" wrapText="1"/>
    </xf>
    <xf numFmtId="0" fontId="85" fillId="7" borderId="46" xfId="45" applyFont="1" applyFill="1" applyBorder="1" applyAlignment="1">
      <alignment horizontal="left" wrapText="1"/>
    </xf>
    <xf numFmtId="0" fontId="79" fillId="7" borderId="914" xfId="45" applyFont="1" applyFill="1" applyBorder="1"/>
    <xf numFmtId="0" fontId="5" fillId="40" borderId="208" xfId="0" applyFont="1" applyFill="1" applyBorder="1" applyAlignment="1">
      <alignment horizontal="right" vertical="top"/>
    </xf>
    <xf numFmtId="0" fontId="0" fillId="0" borderId="0" xfId="0" applyAlignment="1">
      <alignment horizontal="center"/>
    </xf>
    <xf numFmtId="0" fontId="4" fillId="14" borderId="208" xfId="0" applyFont="1" applyFill="1" applyBorder="1" applyAlignment="1">
      <alignment horizontal="left" wrapText="1"/>
    </xf>
    <xf numFmtId="0" fontId="5" fillId="14" borderId="208" xfId="0" applyFont="1" applyFill="1" applyBorder="1" applyAlignment="1">
      <alignment horizontal="right" vertical="top" wrapText="1"/>
    </xf>
    <xf numFmtId="0" fontId="115" fillId="0" borderId="0" xfId="0" applyFont="1" applyAlignment="1">
      <alignment horizontal="center"/>
    </xf>
    <xf numFmtId="0" fontId="4" fillId="33" borderId="0" xfId="0" applyFont="1" applyFill="1" applyAlignment="1">
      <alignment horizontal="center"/>
    </xf>
    <xf numFmtId="0" fontId="0" fillId="6" borderId="245" xfId="0" applyFill="1" applyBorder="1" applyAlignment="1">
      <alignment horizontal="left" wrapText="1"/>
    </xf>
    <xf numFmtId="0" fontId="0" fillId="6" borderId="0" xfId="0" applyFill="1" applyAlignment="1">
      <alignment horizontal="left" wrapText="1"/>
    </xf>
    <xf numFmtId="0" fontId="0" fillId="6" borderId="21" xfId="0" applyFill="1" applyBorder="1" applyAlignment="1">
      <alignment horizontal="left" wrapText="1"/>
    </xf>
    <xf numFmtId="0" fontId="0" fillId="6" borderId="246" xfId="0" applyFill="1" applyBorder="1" applyAlignment="1">
      <alignment horizontal="left" wrapText="1"/>
    </xf>
    <xf numFmtId="0" fontId="0" fillId="6" borderId="46" xfId="0" applyFill="1" applyBorder="1" applyAlignment="1">
      <alignment horizontal="left" wrapText="1"/>
    </xf>
    <xf numFmtId="0" fontId="0" fillId="6" borderId="247" xfId="0" applyFill="1" applyBorder="1" applyAlignment="1">
      <alignment horizontal="left" wrapText="1"/>
    </xf>
    <xf numFmtId="0" fontId="4" fillId="42" borderId="208" xfId="0" applyFont="1" applyFill="1" applyBorder="1" applyAlignment="1">
      <alignment horizontal="left" vertical="top" wrapText="1"/>
    </xf>
    <xf numFmtId="0" fontId="5" fillId="42" borderId="208" xfId="0" applyFont="1" applyFill="1" applyBorder="1" applyAlignment="1">
      <alignment horizontal="right" vertical="top"/>
    </xf>
    <xf numFmtId="0" fontId="4" fillId="39" borderId="216" xfId="0" applyFont="1" applyFill="1" applyBorder="1" applyAlignment="1">
      <alignment horizontal="left"/>
    </xf>
    <xf numFmtId="0" fontId="4" fillId="39" borderId="217" xfId="0" applyFont="1" applyFill="1" applyBorder="1" applyAlignment="1">
      <alignment horizontal="left"/>
    </xf>
    <xf numFmtId="0" fontId="4" fillId="39" borderId="250" xfId="0" applyFont="1" applyFill="1" applyBorder="1" applyAlignment="1">
      <alignment horizontal="left"/>
    </xf>
    <xf numFmtId="0" fontId="4" fillId="39" borderId="208" xfId="0" applyFont="1" applyFill="1" applyBorder="1" applyAlignment="1">
      <alignment horizontal="left" wrapText="1"/>
    </xf>
    <xf numFmtId="0" fontId="4" fillId="40" borderId="208" xfId="0" applyFont="1" applyFill="1" applyBorder="1" applyAlignment="1">
      <alignment horizontal="left" vertical="top" wrapText="1"/>
    </xf>
    <xf numFmtId="0" fontId="4" fillId="40" borderId="208" xfId="0" applyFont="1" applyFill="1" applyBorder="1" applyAlignment="1">
      <alignment horizontal="left" wrapText="1"/>
    </xf>
    <xf numFmtId="0" fontId="4" fillId="48" borderId="242" xfId="0" applyFont="1" applyFill="1" applyBorder="1" applyAlignment="1">
      <alignment vertical="top" wrapText="1"/>
    </xf>
    <xf numFmtId="0" fontId="4" fillId="48" borderId="243" xfId="0" applyFont="1" applyFill="1" applyBorder="1" applyAlignment="1">
      <alignment vertical="top" wrapText="1"/>
    </xf>
    <xf numFmtId="0" fontId="4" fillId="48" borderId="244" xfId="0" applyFont="1" applyFill="1" applyBorder="1" applyAlignment="1">
      <alignment vertical="top" wrapText="1"/>
    </xf>
    <xf numFmtId="0" fontId="4" fillId="48" borderId="245" xfId="0" applyFont="1" applyFill="1" applyBorder="1" applyAlignment="1">
      <alignment vertical="top" wrapText="1"/>
    </xf>
    <xf numFmtId="0" fontId="4" fillId="48" borderId="0" xfId="0" applyFont="1" applyFill="1" applyAlignment="1">
      <alignment vertical="top" wrapText="1"/>
    </xf>
    <xf numFmtId="0" fontId="4" fillId="48" borderId="21" xfId="0" applyFont="1" applyFill="1" applyBorder="1" applyAlignment="1">
      <alignment vertical="top" wrapText="1"/>
    </xf>
    <xf numFmtId="0" fontId="4" fillId="48" borderId="246" xfId="0" applyFont="1" applyFill="1" applyBorder="1" applyAlignment="1">
      <alignment vertical="top" wrapText="1"/>
    </xf>
    <xf numFmtId="0" fontId="4" fillId="48" borderId="46" xfId="0" applyFont="1" applyFill="1" applyBorder="1" applyAlignment="1">
      <alignment vertical="top" wrapText="1"/>
    </xf>
    <xf numFmtId="0" fontId="4" fillId="48" borderId="247" xfId="0" applyFont="1" applyFill="1" applyBorder="1" applyAlignment="1">
      <alignment vertical="top" wrapText="1"/>
    </xf>
    <xf numFmtId="0" fontId="5" fillId="48" borderId="208" xfId="0" applyFont="1" applyFill="1" applyBorder="1" applyAlignment="1">
      <alignment horizontal="right" vertical="top"/>
    </xf>
    <xf numFmtId="0" fontId="4" fillId="39" borderId="208" xfId="0" applyFont="1" applyFill="1" applyBorder="1" applyAlignment="1">
      <alignment horizontal="left" vertical="top" wrapText="1"/>
    </xf>
    <xf numFmtId="0" fontId="4" fillId="41" borderId="208" xfId="0" applyFont="1" applyFill="1" applyBorder="1" applyAlignment="1">
      <alignment horizontal="left" wrapText="1"/>
    </xf>
    <xf numFmtId="0" fontId="5" fillId="41" borderId="208" xfId="0" applyFont="1" applyFill="1" applyBorder="1" applyAlignment="1">
      <alignment horizontal="right" vertical="top"/>
    </xf>
    <xf numFmtId="0" fontId="4" fillId="48" borderId="208" xfId="0" applyFont="1" applyFill="1" applyBorder="1" applyAlignment="1">
      <alignment horizontal="left" vertical="top" wrapText="1"/>
    </xf>
    <xf numFmtId="0" fontId="5" fillId="39" borderId="248" xfId="0" applyFont="1" applyFill="1" applyBorder="1" applyAlignment="1">
      <alignment horizontal="right" vertical="top"/>
    </xf>
    <xf numFmtId="0" fontId="5" fillId="39" borderId="249" xfId="0" applyFont="1" applyFill="1" applyBorder="1" applyAlignment="1">
      <alignment horizontal="right" vertical="top"/>
    </xf>
    <xf numFmtId="0" fontId="5" fillId="39" borderId="251" xfId="0" applyFont="1" applyFill="1" applyBorder="1" applyAlignment="1">
      <alignment horizontal="right" vertical="top"/>
    </xf>
    <xf numFmtId="0" fontId="4" fillId="39" borderId="216" xfId="0" applyFont="1" applyFill="1" applyBorder="1" applyAlignment="1">
      <alignment horizontal="left" wrapText="1"/>
    </xf>
    <xf numFmtId="0" fontId="4" fillId="39" borderId="217" xfId="0" applyFont="1" applyFill="1" applyBorder="1" applyAlignment="1">
      <alignment horizontal="left" wrapText="1"/>
    </xf>
    <xf numFmtId="0" fontId="4" fillId="39" borderId="250" xfId="0" applyFont="1" applyFill="1" applyBorder="1" applyAlignment="1">
      <alignment horizontal="left" wrapText="1"/>
    </xf>
    <xf numFmtId="0" fontId="38" fillId="40" borderId="51" xfId="0" applyFont="1" applyFill="1" applyBorder="1" applyAlignment="1">
      <alignment horizontal="left" wrapText="1"/>
    </xf>
    <xf numFmtId="0" fontId="38" fillId="40" borderId="0" xfId="0" applyFont="1" applyFill="1" applyAlignment="1">
      <alignment horizontal="left" wrapText="1"/>
    </xf>
    <xf numFmtId="0" fontId="38" fillId="40" borderId="50" xfId="0" applyFont="1" applyFill="1" applyBorder="1" applyAlignment="1">
      <alignment horizontal="left" wrapText="1"/>
    </xf>
    <xf numFmtId="0" fontId="4" fillId="40" borderId="51" xfId="0" applyFont="1" applyFill="1" applyBorder="1" applyAlignment="1">
      <alignment horizontal="left" wrapText="1"/>
    </xf>
    <xf numFmtId="0" fontId="4" fillId="40" borderId="0" xfId="0" applyFont="1" applyFill="1" applyAlignment="1">
      <alignment horizontal="left" wrapText="1"/>
    </xf>
    <xf numFmtId="0" fontId="4" fillId="40" borderId="50" xfId="0" applyFont="1" applyFill="1" applyBorder="1" applyAlignment="1">
      <alignment horizontal="left" wrapText="1"/>
    </xf>
    <xf numFmtId="0" fontId="4" fillId="40" borderId="178" xfId="0" applyFont="1" applyFill="1" applyBorder="1" applyAlignment="1">
      <alignment horizontal="left" wrapText="1"/>
    </xf>
    <xf numFmtId="0" fontId="4" fillId="40" borderId="196" xfId="0" applyFont="1" applyFill="1" applyBorder="1" applyAlignment="1">
      <alignment horizontal="left" wrapText="1"/>
    </xf>
    <xf numFmtId="0" fontId="4" fillId="40" borderId="252" xfId="0" applyFont="1" applyFill="1" applyBorder="1" applyAlignment="1">
      <alignment horizontal="left" wrapText="1"/>
    </xf>
    <xf numFmtId="0" fontId="29" fillId="40" borderId="185" xfId="0" applyFont="1" applyFill="1" applyBorder="1" applyAlignment="1">
      <alignment horizontal="left" wrapText="1"/>
    </xf>
    <xf numFmtId="0" fontId="29" fillId="40" borderId="184" xfId="0" applyFont="1" applyFill="1" applyBorder="1" applyAlignment="1">
      <alignment horizontal="left" wrapText="1"/>
    </xf>
    <xf numFmtId="0" fontId="29" fillId="40" borderId="186" xfId="0" applyFont="1" applyFill="1" applyBorder="1" applyAlignment="1">
      <alignment horizontal="left" wrapText="1"/>
    </xf>
    <xf numFmtId="0" fontId="181" fillId="6" borderId="185" xfId="0" applyFont="1" applyFill="1" applyBorder="1" applyAlignment="1">
      <alignment horizontal="left"/>
    </xf>
    <xf numFmtId="0" fontId="181" fillId="6" borderId="184" xfId="0" applyFont="1" applyFill="1" applyBorder="1" applyAlignment="1">
      <alignment horizontal="left"/>
    </xf>
    <xf numFmtId="0" fontId="181" fillId="6" borderId="186" xfId="0" applyFont="1" applyFill="1" applyBorder="1" applyAlignment="1">
      <alignment horizontal="left"/>
    </xf>
    <xf numFmtId="0" fontId="101" fillId="6" borderId="51" xfId="0" applyFont="1" applyFill="1" applyBorder="1" applyAlignment="1">
      <alignment horizontal="left" wrapText="1"/>
    </xf>
    <xf numFmtId="0" fontId="101" fillId="6" borderId="0" xfId="0" applyFont="1" applyFill="1" applyAlignment="1">
      <alignment horizontal="left" wrapText="1"/>
    </xf>
    <xf numFmtId="0" fontId="101" fillId="6" borderId="50" xfId="0" applyFont="1" applyFill="1" applyBorder="1" applyAlignment="1">
      <alignment horizontal="left" wrapText="1"/>
    </xf>
    <xf numFmtId="0" fontId="180" fillId="6" borderId="51" xfId="0" applyFont="1" applyFill="1" applyBorder="1" applyAlignment="1">
      <alignment horizontal="left" wrapText="1"/>
    </xf>
    <xf numFmtId="0" fontId="180" fillId="6" borderId="0" xfId="0" applyFont="1" applyFill="1" applyAlignment="1">
      <alignment horizontal="left" wrapText="1"/>
    </xf>
    <xf numFmtId="0" fontId="180" fillId="6" borderId="50" xfId="0" applyFont="1" applyFill="1" applyBorder="1" applyAlignment="1">
      <alignment horizontal="left" wrapText="1"/>
    </xf>
    <xf numFmtId="0" fontId="88" fillId="6" borderId="51" xfId="0" applyFont="1" applyFill="1" applyBorder="1" applyAlignment="1">
      <alignment horizontal="left" wrapText="1"/>
    </xf>
    <xf numFmtId="0" fontId="88" fillId="6" borderId="0" xfId="0" applyFont="1" applyFill="1" applyAlignment="1">
      <alignment horizontal="left" wrapText="1"/>
    </xf>
    <xf numFmtId="0" fontId="88" fillId="6" borderId="50" xfId="0" applyFont="1" applyFill="1" applyBorder="1" applyAlignment="1">
      <alignment horizontal="left" wrapText="1"/>
    </xf>
    <xf numFmtId="0" fontId="70" fillId="10" borderId="0" xfId="0" applyFont="1" applyFill="1" applyAlignment="1">
      <alignment horizontal="left" wrapText="1"/>
    </xf>
    <xf numFmtId="0" fontId="4" fillId="63" borderId="0" xfId="0" applyFont="1" applyFill="1" applyAlignment="1">
      <alignment horizontal="left" wrapText="1"/>
    </xf>
    <xf numFmtId="0" fontId="4" fillId="42" borderId="0" xfId="0" applyFont="1" applyFill="1" applyAlignment="1">
      <alignment horizontal="left" wrapText="1"/>
    </xf>
    <xf numFmtId="0" fontId="4" fillId="67" borderId="0" xfId="0" applyFont="1" applyFill="1" applyAlignment="1">
      <alignment horizontal="left" wrapText="1"/>
    </xf>
    <xf numFmtId="0" fontId="29" fillId="69" borderId="0" xfId="0" applyFont="1" applyFill="1" applyAlignment="1">
      <alignment horizontal="left" wrapText="1"/>
    </xf>
    <xf numFmtId="0" fontId="4" fillId="69" borderId="0" xfId="0" applyFont="1" applyFill="1" applyAlignment="1">
      <alignment horizontal="left" wrapText="1"/>
    </xf>
    <xf numFmtId="0" fontId="29" fillId="61" borderId="0" xfId="0" applyFont="1" applyFill="1" applyAlignment="1">
      <alignment horizontal="left"/>
    </xf>
    <xf numFmtId="0" fontId="4" fillId="63" borderId="0" xfId="0" applyFont="1" applyFill="1" applyAlignment="1">
      <alignment horizontal="left"/>
    </xf>
    <xf numFmtId="0" fontId="4" fillId="62" borderId="0" xfId="0" applyFont="1" applyFill="1" applyAlignment="1">
      <alignment horizontal="left"/>
    </xf>
    <xf numFmtId="0" fontId="4" fillId="62" borderId="0" xfId="0" applyFont="1" applyFill="1" applyAlignment="1">
      <alignment horizontal="left" wrapText="1"/>
    </xf>
    <xf numFmtId="0" fontId="29" fillId="62" borderId="0" xfId="0" applyFont="1" applyFill="1" applyAlignment="1">
      <alignment horizontal="left"/>
    </xf>
    <xf numFmtId="0" fontId="29" fillId="63" borderId="0" xfId="0" applyFont="1" applyFill="1" applyAlignment="1">
      <alignment horizontal="left"/>
    </xf>
    <xf numFmtId="0" fontId="178" fillId="63" borderId="0" xfId="0" applyFont="1" applyFill="1" applyAlignment="1">
      <alignment horizontal="left" wrapText="1"/>
    </xf>
    <xf numFmtId="0" fontId="29" fillId="0" borderId="0" xfId="0" applyFont="1" applyAlignment="1">
      <alignment horizontal="left"/>
    </xf>
    <xf numFmtId="0" fontId="29" fillId="39" borderId="0" xfId="0" applyFont="1" applyFill="1" applyAlignment="1">
      <alignment horizontal="left"/>
    </xf>
    <xf numFmtId="0" fontId="4" fillId="39" borderId="0" xfId="0" applyFont="1" applyFill="1" applyAlignment="1">
      <alignment horizontal="left" wrapText="1"/>
    </xf>
    <xf numFmtId="0" fontId="4" fillId="0" borderId="0" xfId="0" applyFont="1" applyAlignment="1">
      <alignment horizontal="left" wrapText="1"/>
    </xf>
    <xf numFmtId="0" fontId="4" fillId="40" borderId="0" xfId="0" applyFont="1" applyFill="1" applyAlignment="1">
      <alignment horizontal="left"/>
    </xf>
    <xf numFmtId="0" fontId="29" fillId="40" borderId="0" xfId="0" applyFont="1" applyFill="1" applyAlignment="1">
      <alignment horizontal="left"/>
    </xf>
    <xf numFmtId="0" fontId="4" fillId="77" borderId="0" xfId="0" applyFont="1" applyFill="1" applyAlignment="1">
      <alignment horizontal="left" wrapText="1"/>
    </xf>
    <xf numFmtId="0" fontId="38" fillId="77" borderId="0" xfId="0" applyFont="1" applyFill="1" applyAlignment="1">
      <alignment horizontal="left" wrapText="1"/>
    </xf>
    <xf numFmtId="181" fontId="90" fillId="0" borderId="0" xfId="174" applyNumberFormat="1" applyFont="1" applyFill="1" applyAlignment="1" applyProtection="1">
      <alignment vertical="center"/>
    </xf>
    <xf numFmtId="0" fontId="0" fillId="0" borderId="0" xfId="0" applyAlignment="1">
      <alignment vertical="center"/>
    </xf>
    <xf numFmtId="0" fontId="3" fillId="0" borderId="193" xfId="0" applyFont="1" applyBorder="1" applyAlignment="1">
      <alignment horizontal="left"/>
    </xf>
    <xf numFmtId="0" fontId="0" fillId="0" borderId="181" xfId="0" applyBorder="1" applyAlignment="1">
      <alignment horizontal="left"/>
    </xf>
    <xf numFmtId="0" fontId="0" fillId="0" borderId="182" xfId="0" applyBorder="1" applyAlignment="1">
      <alignment horizontal="left"/>
    </xf>
    <xf numFmtId="0" fontId="101" fillId="7" borderId="224" xfId="0" applyFont="1" applyFill="1" applyBorder="1" applyAlignment="1">
      <alignment horizontal="left" wrapText="1"/>
    </xf>
    <xf numFmtId="0" fontId="101" fillId="7" borderId="220" xfId="0" applyFont="1" applyFill="1" applyBorder="1" applyAlignment="1">
      <alignment horizontal="left" wrapText="1"/>
    </xf>
    <xf numFmtId="0" fontId="101" fillId="7" borderId="265" xfId="0" applyFont="1" applyFill="1" applyBorder="1" applyAlignment="1">
      <alignment horizontal="left"/>
    </xf>
    <xf numFmtId="0" fontId="101" fillId="7" borderId="266" xfId="0" applyFont="1" applyFill="1" applyBorder="1" applyAlignment="1">
      <alignment horizontal="left"/>
    </xf>
    <xf numFmtId="0" fontId="38" fillId="8" borderId="185" xfId="0" applyFont="1" applyFill="1" applyBorder="1" applyAlignment="1">
      <alignment horizontal="center"/>
    </xf>
    <xf numFmtId="0" fontId="38" fillId="8" borderId="191" xfId="0" applyFont="1" applyFill="1" applyBorder="1" applyAlignment="1">
      <alignment horizontal="center"/>
    </xf>
    <xf numFmtId="0" fontId="38" fillId="8" borderId="51" xfId="0" applyFont="1" applyFill="1" applyBorder="1" applyAlignment="1">
      <alignment horizontal="center"/>
    </xf>
    <xf numFmtId="0" fontId="38" fillId="8" borderId="21" xfId="0" applyFont="1" applyFill="1" applyBorder="1" applyAlignment="1">
      <alignment horizontal="center"/>
    </xf>
    <xf numFmtId="0" fontId="38" fillId="8" borderId="274" xfId="0" applyFont="1" applyFill="1" applyBorder="1" applyAlignment="1">
      <alignment horizontal="center"/>
    </xf>
    <xf numFmtId="0" fontId="38" fillId="8" borderId="247" xfId="0" applyFont="1" applyFill="1" applyBorder="1" applyAlignment="1">
      <alignment horizontal="center"/>
    </xf>
    <xf numFmtId="0" fontId="101" fillId="7" borderId="224" xfId="0" applyFont="1" applyFill="1" applyBorder="1" applyAlignment="1">
      <alignment horizontal="left"/>
    </xf>
    <xf numFmtId="0" fontId="101" fillId="7" borderId="220" xfId="0" applyFont="1" applyFill="1" applyBorder="1" applyAlignment="1">
      <alignment horizontal="left"/>
    </xf>
    <xf numFmtId="0" fontId="101" fillId="8" borderId="224" xfId="0" applyFont="1" applyFill="1" applyBorder="1" applyAlignment="1">
      <alignment horizontal="left"/>
    </xf>
    <xf numFmtId="0" fontId="101" fillId="8" borderId="220" xfId="0" applyFont="1" applyFill="1" applyBorder="1" applyAlignment="1">
      <alignment horizontal="left"/>
    </xf>
    <xf numFmtId="0" fontId="101" fillId="7" borderId="224" xfId="0" applyFont="1" applyFill="1" applyBorder="1" applyAlignment="1">
      <alignment horizontal="center"/>
    </xf>
    <xf numFmtId="0" fontId="101" fillId="7" borderId="220" xfId="0" applyFont="1" applyFill="1" applyBorder="1" applyAlignment="1">
      <alignment horizontal="center"/>
    </xf>
    <xf numFmtId="0" fontId="0" fillId="0" borderId="178" xfId="0" applyBorder="1" applyAlignment="1">
      <alignment horizontal="left" vertical="top" wrapText="1"/>
    </xf>
    <xf numFmtId="0" fontId="0" fillId="0" borderId="196" xfId="0" applyBorder="1" applyAlignment="1">
      <alignment horizontal="left" vertical="top" wrapText="1"/>
    </xf>
    <xf numFmtId="0" fontId="0" fillId="0" borderId="252" xfId="0" applyBorder="1" applyAlignment="1">
      <alignment horizontal="left" vertical="top" wrapText="1"/>
    </xf>
    <xf numFmtId="0" fontId="96" fillId="33" borderId="269" xfId="0" applyFont="1" applyFill="1" applyBorder="1" applyAlignment="1" applyProtection="1">
      <alignment horizontal="center" vertical="center"/>
      <protection locked="0"/>
    </xf>
    <xf numFmtId="0" fontId="96" fillId="33" borderId="137" xfId="0" applyFont="1" applyFill="1" applyBorder="1" applyAlignment="1" applyProtection="1">
      <alignment horizontal="center" vertical="center"/>
      <protection locked="0"/>
    </xf>
    <xf numFmtId="0" fontId="5" fillId="0" borderId="227" xfId="0" applyFont="1" applyBorder="1" applyAlignment="1">
      <alignment horizontal="left"/>
    </xf>
    <xf numFmtId="0" fontId="5" fillId="0" borderId="268" xfId="0" applyFont="1" applyBorder="1" applyAlignment="1">
      <alignment horizontal="left"/>
    </xf>
    <xf numFmtId="0" fontId="5" fillId="0" borderId="230" xfId="0" applyFont="1" applyBorder="1" applyAlignment="1">
      <alignment horizontal="left"/>
    </xf>
    <xf numFmtId="0" fontId="60" fillId="7" borderId="178" xfId="0" applyFont="1" applyFill="1" applyBorder="1" applyAlignment="1">
      <alignment horizontal="center" vertical="center"/>
    </xf>
    <xf numFmtId="0" fontId="60" fillId="7" borderId="196" xfId="0" applyFont="1" applyFill="1" applyBorder="1" applyAlignment="1">
      <alignment horizontal="center" vertical="center"/>
    </xf>
    <xf numFmtId="0" fontId="60" fillId="7" borderId="252" xfId="0" applyFont="1" applyFill="1" applyBorder="1" applyAlignment="1">
      <alignment horizontal="center" vertical="center"/>
    </xf>
    <xf numFmtId="0" fontId="12" fillId="0" borderId="0" xfId="0" applyFont="1" applyAlignment="1">
      <alignment horizontal="center"/>
    </xf>
    <xf numFmtId="0" fontId="60" fillId="33" borderId="185" xfId="0" applyFont="1" applyFill="1" applyBorder="1" applyAlignment="1" applyProtection="1">
      <alignment horizontal="center" vertical="center"/>
      <protection locked="0"/>
    </xf>
    <xf numFmtId="0" fontId="60" fillId="33" borderId="184" xfId="0" applyFont="1" applyFill="1" applyBorder="1" applyAlignment="1" applyProtection="1">
      <alignment horizontal="center" vertical="center"/>
      <protection locked="0"/>
    </xf>
    <xf numFmtId="0" fontId="60" fillId="33" borderId="186" xfId="0" applyFont="1" applyFill="1" applyBorder="1" applyAlignment="1" applyProtection="1">
      <alignment horizontal="center" vertical="center"/>
      <protection locked="0"/>
    </xf>
    <xf numFmtId="0" fontId="5" fillId="0" borderId="185" xfId="0" applyFont="1" applyBorder="1" applyAlignment="1">
      <alignment horizontal="left"/>
    </xf>
    <xf numFmtId="0" fontId="5" fillId="0" borderId="184" xfId="0" applyFont="1" applyBorder="1" applyAlignment="1">
      <alignment horizontal="left"/>
    </xf>
    <xf numFmtId="0" fontId="5" fillId="0" borderId="186" xfId="0" applyFont="1" applyBorder="1" applyAlignment="1">
      <alignment horizontal="left"/>
    </xf>
    <xf numFmtId="0" fontId="88" fillId="11" borderId="185" xfId="0" applyFont="1" applyFill="1" applyBorder="1" applyAlignment="1">
      <alignment horizontal="center" vertical="center" wrapText="1"/>
    </xf>
    <xf numFmtId="0" fontId="88" fillId="11" borderId="178" xfId="0" applyFont="1" applyFill="1" applyBorder="1" applyAlignment="1">
      <alignment horizontal="center" vertical="center" wrapText="1"/>
    </xf>
    <xf numFmtId="0" fontId="2" fillId="30" borderId="90" xfId="0" applyFont="1" applyFill="1" applyBorder="1" applyAlignment="1">
      <alignment horizontal="left" wrapText="1"/>
    </xf>
    <xf numFmtId="0" fontId="2" fillId="30" borderId="91" xfId="0" applyFont="1" applyFill="1" applyBorder="1" applyAlignment="1">
      <alignment horizontal="left" wrapText="1"/>
    </xf>
    <xf numFmtId="0" fontId="2" fillId="30" borderId="122" xfId="0" applyFont="1" applyFill="1" applyBorder="1" applyAlignment="1">
      <alignment horizontal="left" wrapText="1"/>
    </xf>
    <xf numFmtId="0" fontId="2" fillId="30" borderId="92" xfId="0" applyFont="1" applyFill="1" applyBorder="1" applyAlignment="1">
      <alignment horizontal="left" wrapText="1"/>
    </xf>
    <xf numFmtId="0" fontId="2" fillId="30" borderId="227" xfId="0" applyFont="1" applyFill="1" applyBorder="1" applyAlignment="1">
      <alignment horizontal="left"/>
    </xf>
    <xf numFmtId="0" fontId="2" fillId="30" borderId="229" xfId="0" applyFont="1" applyFill="1" applyBorder="1" applyAlignment="1">
      <alignment horizontal="left"/>
    </xf>
    <xf numFmtId="0" fontId="2" fillId="30" borderId="0" xfId="0" applyFont="1" applyFill="1" applyAlignment="1">
      <alignment horizontal="left"/>
    </xf>
    <xf numFmtId="0" fontId="2" fillId="30" borderId="230" xfId="0" applyFont="1" applyFill="1" applyBorder="1" applyAlignment="1">
      <alignment horizontal="left"/>
    </xf>
    <xf numFmtId="0" fontId="2" fillId="30" borderId="249" xfId="0" applyFont="1" applyFill="1" applyBorder="1" applyAlignment="1">
      <alignment horizontal="left" wrapText="1"/>
    </xf>
    <xf numFmtId="0" fontId="2" fillId="30" borderId="430" xfId="0" applyFont="1" applyFill="1" applyBorder="1" applyAlignment="1">
      <alignment horizontal="left" wrapText="1"/>
    </xf>
    <xf numFmtId="0" fontId="0" fillId="0" borderId="184" xfId="0" applyBorder="1" applyAlignment="1">
      <alignment horizontal="center"/>
    </xf>
    <xf numFmtId="3" fontId="0" fillId="0" borderId="184" xfId="15" applyFont="1" applyFill="1" applyBorder="1" applyAlignment="1" applyProtection="1">
      <alignment horizontal="center"/>
    </xf>
    <xf numFmtId="0" fontId="0" fillId="11" borderId="51" xfId="0" applyFill="1" applyBorder="1"/>
    <xf numFmtId="0" fontId="0" fillId="11" borderId="0" xfId="0" applyFill="1"/>
    <xf numFmtId="0" fontId="72" fillId="20" borderId="51" xfId="14" applyNumberFormat="1" applyFont="1" applyFill="1" applyBorder="1" applyAlignment="1" applyProtection="1">
      <alignment horizontal="center"/>
    </xf>
    <xf numFmtId="0" fontId="72" fillId="20" borderId="0" xfId="14" applyNumberFormat="1" applyFont="1" applyFill="1" applyBorder="1" applyAlignment="1" applyProtection="1">
      <alignment horizontal="center"/>
    </xf>
    <xf numFmtId="0" fontId="72" fillId="10" borderId="51" xfId="0" applyFont="1" applyFill="1" applyBorder="1" applyAlignment="1">
      <alignment horizontal="center"/>
    </xf>
    <xf numFmtId="0" fontId="72" fillId="10" borderId="0" xfId="0" applyFont="1" applyFill="1" applyAlignment="1">
      <alignment horizontal="center"/>
    </xf>
    <xf numFmtId="0" fontId="0" fillId="0" borderId="196" xfId="0" applyBorder="1"/>
    <xf numFmtId="0" fontId="0" fillId="0" borderId="0" xfId="0"/>
    <xf numFmtId="0" fontId="72" fillId="20" borderId="281" xfId="14" applyNumberFormat="1" applyFont="1" applyFill="1" applyBorder="1" applyAlignment="1" applyProtection="1">
      <alignment horizontal="center"/>
    </xf>
    <xf numFmtId="0" fontId="72" fillId="20" borderId="196" xfId="14" applyNumberFormat="1" applyFont="1" applyFill="1" applyBorder="1" applyAlignment="1" applyProtection="1">
      <alignment horizontal="center"/>
    </xf>
    <xf numFmtId="0" fontId="10" fillId="20" borderId="51" xfId="14" applyNumberFormat="1" applyFill="1" applyBorder="1" applyAlignment="1" applyProtection="1">
      <alignment horizontal="center"/>
    </xf>
    <xf numFmtId="0" fontId="10" fillId="20" borderId="0" xfId="14" applyNumberFormat="1" applyFill="1" applyBorder="1" applyAlignment="1" applyProtection="1">
      <alignment horizontal="center"/>
    </xf>
    <xf numFmtId="0" fontId="104" fillId="57" borderId="227" xfId="0" applyFont="1" applyFill="1" applyBorder="1" applyAlignment="1">
      <alignment horizontal="left" vertical="top" wrapText="1"/>
    </xf>
    <xf numFmtId="0" fontId="104" fillId="57" borderId="229" xfId="0" applyFont="1" applyFill="1" applyBorder="1" applyAlignment="1">
      <alignment horizontal="left" vertical="top" wrapText="1"/>
    </xf>
    <xf numFmtId="0" fontId="104" fillId="57" borderId="184" xfId="0" applyFont="1" applyFill="1" applyBorder="1" applyAlignment="1">
      <alignment horizontal="left" vertical="top" wrapText="1"/>
    </xf>
    <xf numFmtId="0" fontId="104" fillId="57" borderId="230" xfId="0" applyFont="1" applyFill="1" applyBorder="1" applyAlignment="1">
      <alignment horizontal="left" vertical="top" wrapText="1"/>
    </xf>
    <xf numFmtId="3" fontId="109" fillId="3" borderId="856" xfId="15" applyFont="1" applyFill="1" applyBorder="1" applyAlignment="1" applyProtection="1">
      <alignment horizontal="center" vertical="center" wrapText="1"/>
    </xf>
    <xf numFmtId="3" fontId="109" fillId="3" borderId="857" xfId="15" applyFont="1" applyFill="1" applyBorder="1" applyAlignment="1" applyProtection="1">
      <alignment horizontal="center" vertical="center" wrapText="1"/>
    </xf>
    <xf numFmtId="0" fontId="2" fillId="11" borderId="185" xfId="0" applyFont="1" applyFill="1" applyBorder="1" applyAlignment="1">
      <alignment horizontal="center" vertical="center" wrapText="1"/>
    </xf>
    <xf numFmtId="0" fontId="2" fillId="11" borderId="186" xfId="0" applyFont="1" applyFill="1" applyBorder="1" applyAlignment="1">
      <alignment horizontal="center" vertical="center" wrapText="1"/>
    </xf>
    <xf numFmtId="0" fontId="2" fillId="11" borderId="748" xfId="0" applyFont="1" applyFill="1" applyBorder="1" applyAlignment="1">
      <alignment horizontal="center" vertical="center" wrapText="1"/>
    </xf>
    <xf numFmtId="0" fontId="2" fillId="11" borderId="50" xfId="0" applyFont="1" applyFill="1" applyBorder="1" applyAlignment="1">
      <alignment horizontal="center" vertical="center" wrapText="1"/>
    </xf>
    <xf numFmtId="0" fontId="102" fillId="7" borderId="340" xfId="15" applyNumberFormat="1" applyFont="1" applyFill="1" applyBorder="1" applyAlignment="1" applyProtection="1">
      <alignment horizontal="left"/>
    </xf>
    <xf numFmtId="0" fontId="102" fillId="7" borderId="324" xfId="15" applyNumberFormat="1" applyFont="1" applyFill="1" applyBorder="1" applyAlignment="1" applyProtection="1">
      <alignment horizontal="left"/>
    </xf>
    <xf numFmtId="0" fontId="102" fillId="7" borderId="341" xfId="15" applyNumberFormat="1" applyFont="1" applyFill="1" applyBorder="1" applyAlignment="1" applyProtection="1">
      <alignment horizontal="left"/>
    </xf>
    <xf numFmtId="3" fontId="2" fillId="7" borderId="0" xfId="15" applyFont="1" applyFill="1" applyBorder="1" applyAlignment="1" applyProtection="1">
      <alignment horizontal="left" wrapText="1"/>
    </xf>
    <xf numFmtId="3" fontId="2" fillId="7" borderId="8" xfId="15" applyFont="1" applyFill="1" applyBorder="1" applyAlignment="1" applyProtection="1">
      <alignment horizontal="left" wrapText="1"/>
    </xf>
    <xf numFmtId="3" fontId="53" fillId="7" borderId="0" xfId="15" applyFont="1" applyFill="1" applyBorder="1" applyAlignment="1" applyProtection="1">
      <alignment horizontal="left" vertical="center" wrapText="1"/>
    </xf>
    <xf numFmtId="3" fontId="53" fillId="7" borderId="21" xfId="15" applyFont="1" applyFill="1" applyBorder="1" applyAlignment="1" applyProtection="1">
      <alignment horizontal="left" vertical="center" wrapText="1"/>
    </xf>
    <xf numFmtId="3" fontId="102" fillId="7" borderId="344" xfId="15" applyFont="1" applyFill="1" applyBorder="1" applyAlignment="1" applyProtection="1">
      <alignment horizontal="left"/>
    </xf>
    <xf numFmtId="3" fontId="102" fillId="7" borderId="345" xfId="15" applyFont="1" applyFill="1" applyBorder="1" applyAlignment="1" applyProtection="1">
      <alignment horizontal="left"/>
    </xf>
    <xf numFmtId="3" fontId="102" fillId="7" borderId="346" xfId="15" applyFont="1" applyFill="1" applyBorder="1" applyAlignment="1" applyProtection="1">
      <alignment horizontal="left"/>
    </xf>
    <xf numFmtId="3" fontId="106" fillId="7" borderId="340" xfId="15" applyFont="1" applyFill="1" applyBorder="1" applyAlignment="1" applyProtection="1">
      <alignment horizontal="center"/>
    </xf>
    <xf numFmtId="3" fontId="106" fillId="7" borderId="324" xfId="15" applyFont="1" applyFill="1" applyBorder="1" applyAlignment="1" applyProtection="1">
      <alignment horizontal="center"/>
    </xf>
    <xf numFmtId="3" fontId="106" fillId="7" borderId="341" xfId="15" applyFont="1" applyFill="1" applyBorder="1" applyAlignment="1" applyProtection="1">
      <alignment horizontal="center"/>
    </xf>
    <xf numFmtId="3" fontId="2" fillId="7" borderId="305" xfId="21" applyNumberFormat="1" applyFont="1" applyFill="1" applyBorder="1" applyAlignment="1">
      <alignment horizontal="center"/>
    </xf>
    <xf numFmtId="3" fontId="2" fillId="7" borderId="306" xfId="21" applyNumberFormat="1" applyFont="1" applyFill="1" applyBorder="1" applyAlignment="1">
      <alignment horizontal="center"/>
    </xf>
    <xf numFmtId="3" fontId="2" fillId="7" borderId="347" xfId="21" applyNumberFormat="1" applyFont="1" applyFill="1" applyBorder="1" applyAlignment="1">
      <alignment horizontal="center"/>
    </xf>
    <xf numFmtId="3" fontId="2" fillId="7" borderId="349" xfId="21" applyNumberFormat="1" applyFont="1" applyFill="1" applyBorder="1" applyAlignment="1">
      <alignment horizontal="center"/>
    </xf>
    <xf numFmtId="3" fontId="2" fillId="7" borderId="46" xfId="21" applyNumberFormat="1" applyFont="1" applyFill="1" applyBorder="1" applyAlignment="1">
      <alignment horizontal="center"/>
    </xf>
    <xf numFmtId="3" fontId="2" fillId="7" borderId="81" xfId="21" applyNumberFormat="1" applyFont="1" applyFill="1" applyBorder="1" applyAlignment="1">
      <alignment horizontal="center"/>
    </xf>
    <xf numFmtId="0" fontId="0" fillId="7" borderId="327" xfId="0" applyFill="1" applyBorder="1"/>
    <xf numFmtId="0" fontId="0" fillId="7" borderId="317" xfId="0" applyFill="1" applyBorder="1"/>
    <xf numFmtId="0" fontId="0" fillId="7" borderId="328" xfId="0" applyFill="1" applyBorder="1"/>
    <xf numFmtId="0" fontId="0" fillId="7" borderId="0" xfId="0" applyFill="1"/>
    <xf numFmtId="0" fontId="0" fillId="7" borderId="323" xfId="0" applyFill="1" applyBorder="1"/>
    <xf numFmtId="0" fontId="0" fillId="7" borderId="324" xfId="0" applyFill="1" applyBorder="1"/>
    <xf numFmtId="0" fontId="0" fillId="7" borderId="325" xfId="0" applyFill="1" applyBorder="1"/>
    <xf numFmtId="0" fontId="30" fillId="7" borderId="0" xfId="21" applyFont="1" applyFill="1" applyAlignment="1">
      <alignment horizontal="right"/>
    </xf>
    <xf numFmtId="3" fontId="3" fillId="7" borderId="340" xfId="15" applyFont="1" applyFill="1" applyBorder="1" applyAlignment="1" applyProtection="1">
      <alignment horizontal="left"/>
    </xf>
    <xf numFmtId="3" fontId="3" fillId="7" borderId="341" xfId="15" applyFont="1" applyFill="1" applyBorder="1" applyAlignment="1" applyProtection="1">
      <alignment horizontal="left"/>
    </xf>
    <xf numFmtId="3" fontId="16" fillId="7" borderId="343" xfId="15" applyFont="1" applyFill="1" applyBorder="1" applyAlignment="1" applyProtection="1">
      <alignment horizontal="center"/>
    </xf>
    <xf numFmtId="3" fontId="3" fillId="7" borderId="342" xfId="21" applyNumberFormat="1" applyFont="1" applyFill="1" applyBorder="1" applyAlignment="1">
      <alignment horizontal="left"/>
    </xf>
    <xf numFmtId="3" fontId="3" fillId="7" borderId="331" xfId="21" applyNumberFormat="1" applyFont="1" applyFill="1" applyBorder="1" applyAlignment="1">
      <alignment horizontal="left"/>
    </xf>
    <xf numFmtId="3" fontId="3" fillId="7" borderId="333" xfId="21" applyNumberFormat="1" applyFont="1" applyFill="1" applyBorder="1" applyAlignment="1">
      <alignment horizontal="left"/>
    </xf>
    <xf numFmtId="3" fontId="16" fillId="7" borderId="342" xfId="21" applyNumberFormat="1" applyFont="1" applyFill="1" applyBorder="1" applyAlignment="1">
      <alignment horizontal="left"/>
    </xf>
    <xf numFmtId="3" fontId="16" fillId="7" borderId="331" xfId="21" applyNumberFormat="1" applyFont="1" applyFill="1" applyBorder="1" applyAlignment="1">
      <alignment horizontal="left"/>
    </xf>
    <xf numFmtId="3" fontId="16" fillId="7" borderId="333" xfId="21" applyNumberFormat="1" applyFont="1" applyFill="1" applyBorder="1" applyAlignment="1">
      <alignment horizontal="left"/>
    </xf>
    <xf numFmtId="0" fontId="0" fillId="7" borderId="8" xfId="0" applyFill="1" applyBorder="1"/>
    <xf numFmtId="3" fontId="2" fillId="7" borderId="361" xfId="15" applyFont="1" applyFill="1" applyBorder="1" applyAlignment="1" applyProtection="1">
      <alignment horizontal="center"/>
    </xf>
    <xf numFmtId="3" fontId="2" fillId="7" borderId="363" xfId="21" applyNumberFormat="1" applyFont="1" applyFill="1" applyBorder="1" applyAlignment="1">
      <alignment horizontal="left"/>
    </xf>
    <xf numFmtId="3" fontId="2" fillId="7" borderId="356" xfId="21" applyNumberFormat="1" applyFont="1" applyFill="1" applyBorder="1" applyAlignment="1">
      <alignment horizontal="left"/>
    </xf>
    <xf numFmtId="3" fontId="2" fillId="7" borderId="357" xfId="21" applyNumberFormat="1" applyFont="1" applyFill="1" applyBorder="1" applyAlignment="1">
      <alignment horizontal="left"/>
    </xf>
    <xf numFmtId="3" fontId="53" fillId="7" borderId="0" xfId="15" applyFont="1" applyFill="1" applyBorder="1" applyAlignment="1" applyProtection="1">
      <alignment horizontal="left" wrapText="1"/>
    </xf>
    <xf numFmtId="3" fontId="104" fillId="7" borderId="364" xfId="15" applyFont="1" applyFill="1" applyBorder="1" applyAlignment="1" applyProtection="1">
      <alignment horizontal="center"/>
    </xf>
    <xf numFmtId="3" fontId="104" fillId="7" borderId="365" xfId="15" applyFont="1" applyFill="1" applyBorder="1" applyAlignment="1" applyProtection="1">
      <alignment horizontal="center"/>
    </xf>
    <xf numFmtId="3" fontId="104" fillId="7" borderId="366" xfId="15" applyFont="1" applyFill="1" applyBorder="1" applyAlignment="1" applyProtection="1">
      <alignment horizontal="center"/>
    </xf>
    <xf numFmtId="0" fontId="53" fillId="0" borderId="796" xfId="0" applyFont="1" applyBorder="1" applyAlignment="1">
      <alignment horizontal="left" wrapText="1"/>
    </xf>
    <xf numFmtId="0" fontId="53" fillId="0" borderId="730" xfId="0" applyFont="1" applyBorder="1" applyAlignment="1">
      <alignment horizontal="left" wrapText="1"/>
    </xf>
    <xf numFmtId="0" fontId="3" fillId="33" borderId="227" xfId="0" applyFont="1" applyFill="1" applyBorder="1" applyAlignment="1" applyProtection="1">
      <alignment horizontal="center"/>
      <protection locked="0"/>
    </xf>
    <xf numFmtId="0" fontId="3" fillId="33" borderId="230" xfId="0" applyFont="1" applyFill="1" applyBorder="1" applyAlignment="1" applyProtection="1">
      <alignment horizontal="center"/>
      <protection locked="0"/>
    </xf>
    <xf numFmtId="3" fontId="53" fillId="0" borderId="370" xfId="15" applyFont="1" applyFill="1" applyBorder="1" applyAlignment="1" applyProtection="1">
      <alignment horizontal="left"/>
    </xf>
    <xf numFmtId="3" fontId="53" fillId="0" borderId="371" xfId="15" applyFont="1" applyFill="1" applyBorder="1" applyAlignment="1" applyProtection="1">
      <alignment horizontal="left"/>
    </xf>
    <xf numFmtId="0" fontId="3" fillId="33" borderId="796" xfId="0" applyFont="1" applyFill="1" applyBorder="1" applyAlignment="1" applyProtection="1">
      <alignment horizontal="center"/>
      <protection locked="0"/>
    </xf>
    <xf numFmtId="3" fontId="3" fillId="3" borderId="416" xfId="15" applyFont="1" applyFill="1" applyBorder="1" applyAlignment="1" applyProtection="1">
      <alignment horizontal="left"/>
    </xf>
    <xf numFmtId="3" fontId="3" fillId="3" borderId="352" xfId="15" applyFont="1" applyFill="1" applyBorder="1" applyAlignment="1" applyProtection="1">
      <alignment horizontal="left"/>
    </xf>
    <xf numFmtId="3" fontId="3" fillId="3" borderId="205" xfId="15" applyFont="1" applyFill="1" applyBorder="1" applyAlignment="1" applyProtection="1">
      <alignment horizontal="left"/>
    </xf>
    <xf numFmtId="3" fontId="3" fillId="35" borderId="416" xfId="15" applyFont="1" applyFill="1" applyBorder="1" applyAlignment="1" applyProtection="1">
      <alignment horizontal="left"/>
      <protection locked="0"/>
    </xf>
    <xf numFmtId="3" fontId="3" fillId="35" borderId="352" xfId="15" applyFont="1" applyFill="1" applyBorder="1" applyAlignment="1" applyProtection="1">
      <alignment horizontal="left"/>
      <protection locked="0"/>
    </xf>
    <xf numFmtId="3" fontId="3" fillId="35" borderId="205" xfId="15" applyFont="1" applyFill="1" applyBorder="1" applyAlignment="1" applyProtection="1">
      <alignment horizontal="left"/>
      <protection locked="0"/>
    </xf>
    <xf numFmtId="0" fontId="0" fillId="3" borderId="184" xfId="0" applyFill="1" applyBorder="1" applyAlignment="1">
      <alignment horizontal="center"/>
    </xf>
    <xf numFmtId="0" fontId="0" fillId="3" borderId="191" xfId="0" applyFill="1" applyBorder="1" applyAlignment="1">
      <alignment horizontal="center"/>
    </xf>
    <xf numFmtId="3" fontId="0" fillId="0" borderId="411" xfId="15" applyFont="1" applyFill="1" applyBorder="1" applyAlignment="1" applyProtection="1">
      <alignment horizontal="center"/>
    </xf>
    <xf numFmtId="3" fontId="0" fillId="0" borderId="368" xfId="15" applyFont="1" applyFill="1" applyBorder="1" applyAlignment="1" applyProtection="1">
      <alignment horizontal="center"/>
    </xf>
    <xf numFmtId="3" fontId="0" fillId="0" borderId="412" xfId="15" applyFont="1" applyFill="1" applyBorder="1" applyAlignment="1" applyProtection="1">
      <alignment horizontal="center"/>
    </xf>
    <xf numFmtId="3" fontId="0" fillId="33" borderId="416" xfId="11" applyFont="1" applyFill="1" applyBorder="1" applyAlignment="1" applyProtection="1">
      <alignment horizontal="left"/>
      <protection locked="0"/>
    </xf>
    <xf numFmtId="3" fontId="0" fillId="33" borderId="352" xfId="11" applyFont="1" applyFill="1" applyBorder="1" applyAlignment="1" applyProtection="1">
      <alignment horizontal="left"/>
      <protection locked="0"/>
    </xf>
    <xf numFmtId="3" fontId="0" fillId="33" borderId="205" xfId="11" applyFont="1" applyFill="1" applyBorder="1" applyAlignment="1" applyProtection="1">
      <alignment horizontal="left"/>
      <protection locked="0"/>
    </xf>
    <xf numFmtId="3" fontId="3" fillId="11" borderId="416" xfId="11" applyFont="1" applyFill="1" applyBorder="1" applyAlignment="1" applyProtection="1">
      <alignment horizontal="left"/>
    </xf>
    <xf numFmtId="3" fontId="0" fillId="11" borderId="352" xfId="11" applyFont="1" applyFill="1" applyBorder="1" applyAlignment="1" applyProtection="1">
      <alignment horizontal="left"/>
    </xf>
    <xf numFmtId="3" fontId="0" fillId="11" borderId="205" xfId="11" applyFont="1" applyFill="1" applyBorder="1" applyAlignment="1" applyProtection="1">
      <alignment horizontal="left"/>
    </xf>
    <xf numFmtId="3" fontId="3" fillId="11" borderId="349" xfId="11" applyFont="1" applyFill="1" applyBorder="1" applyAlignment="1" applyProtection="1"/>
    <xf numFmtId="3" fontId="3" fillId="11" borderId="46" xfId="11" applyFont="1" applyFill="1" applyBorder="1" applyAlignment="1" applyProtection="1"/>
    <xf numFmtId="3" fontId="3" fillId="11" borderId="30" xfId="11" applyFont="1" applyFill="1" applyBorder="1" applyAlignment="1" applyProtection="1"/>
    <xf numFmtId="3" fontId="3" fillId="33" borderId="416" xfId="11" applyFont="1" applyFill="1" applyBorder="1" applyAlignment="1" applyProtection="1">
      <protection locked="0"/>
    </xf>
    <xf numFmtId="3" fontId="0" fillId="33" borderId="352" xfId="11" applyFont="1" applyFill="1" applyBorder="1" applyAlignment="1" applyProtection="1">
      <protection locked="0"/>
    </xf>
    <xf numFmtId="3" fontId="0" fillId="33" borderId="205" xfId="11" applyFont="1" applyFill="1" applyBorder="1" applyAlignment="1" applyProtection="1">
      <protection locked="0"/>
    </xf>
    <xf numFmtId="3" fontId="0" fillId="33" borderId="416" xfId="11" applyFont="1" applyFill="1" applyBorder="1" applyAlignment="1" applyProtection="1">
      <protection locked="0"/>
    </xf>
    <xf numFmtId="3" fontId="3" fillId="33" borderId="352" xfId="11" applyFont="1" applyFill="1" applyBorder="1" applyAlignment="1" applyProtection="1">
      <protection locked="0"/>
    </xf>
    <xf numFmtId="3" fontId="3" fillId="33" borderId="205" xfId="11" applyFont="1" applyFill="1" applyBorder="1" applyAlignment="1" applyProtection="1">
      <protection locked="0"/>
    </xf>
    <xf numFmtId="3" fontId="0" fillId="33" borderId="416" xfId="15" applyFont="1" applyFill="1" applyBorder="1" applyAlignment="1" applyProtection="1">
      <protection locked="0"/>
    </xf>
    <xf numFmtId="3" fontId="3" fillId="33" borderId="352" xfId="15" applyFont="1" applyFill="1" applyBorder="1" applyAlignment="1" applyProtection="1">
      <protection locked="0"/>
    </xf>
    <xf numFmtId="3" fontId="3" fillId="33" borderId="205" xfId="15" applyFont="1" applyFill="1" applyBorder="1" applyAlignment="1" applyProtection="1">
      <protection locked="0"/>
    </xf>
    <xf numFmtId="3" fontId="0" fillId="35" borderId="416" xfId="15" applyFont="1" applyFill="1" applyBorder="1" applyAlignment="1" applyProtection="1">
      <alignment horizontal="left"/>
      <protection locked="0"/>
    </xf>
    <xf numFmtId="3" fontId="0" fillId="35" borderId="352" xfId="15" applyFont="1" applyFill="1" applyBorder="1" applyAlignment="1" applyProtection="1">
      <alignment horizontal="left"/>
      <protection locked="0"/>
    </xf>
    <xf numFmtId="3" fontId="0" fillId="35" borderId="205" xfId="15" applyFont="1" applyFill="1" applyBorder="1" applyAlignment="1" applyProtection="1">
      <alignment horizontal="left"/>
      <protection locked="0"/>
    </xf>
    <xf numFmtId="3" fontId="3" fillId="11" borderId="421" xfId="11" applyFont="1" applyFill="1" applyBorder="1" applyAlignment="1" applyProtection="1"/>
    <xf numFmtId="3" fontId="0" fillId="11" borderId="352" xfId="11" applyFont="1" applyFill="1" applyBorder="1" applyAlignment="1" applyProtection="1"/>
    <xf numFmtId="3" fontId="0" fillId="11" borderId="205" xfId="11" applyFont="1" applyFill="1" applyBorder="1" applyAlignment="1" applyProtection="1"/>
    <xf numFmtId="3" fontId="29" fillId="0" borderId="411" xfId="15" applyFont="1" applyFill="1" applyBorder="1" applyAlignment="1" applyProtection="1">
      <alignment horizontal="center"/>
    </xf>
    <xf numFmtId="3" fontId="29" fillId="0" borderId="368" xfId="15" applyFont="1" applyFill="1" applyBorder="1" applyAlignment="1" applyProtection="1">
      <alignment horizontal="center"/>
    </xf>
    <xf numFmtId="3" fontId="29" fillId="0" borderId="412" xfId="15" applyFont="1" applyFill="1" applyBorder="1" applyAlignment="1" applyProtection="1">
      <alignment horizontal="center"/>
    </xf>
    <xf numFmtId="3" fontId="0" fillId="11" borderId="186" xfId="15" applyFont="1" applyFill="1" applyBorder="1" applyAlignment="1" applyProtection="1">
      <alignment horizontal="center"/>
    </xf>
    <xf numFmtId="3" fontId="0" fillId="11" borderId="50" xfId="15" applyFont="1" applyFill="1" applyBorder="1" applyAlignment="1" applyProtection="1">
      <alignment horizontal="center"/>
    </xf>
    <xf numFmtId="3" fontId="0" fillId="11" borderId="384" xfId="15" applyFont="1" applyFill="1" applyBorder="1" applyAlignment="1" applyProtection="1">
      <alignment horizontal="center"/>
    </xf>
    <xf numFmtId="0" fontId="0" fillId="33" borderId="352" xfId="0" applyFill="1" applyBorder="1" applyProtection="1">
      <protection locked="0"/>
    </xf>
    <xf numFmtId="0" fontId="0" fillId="33" borderId="205" xfId="0" applyFill="1" applyBorder="1" applyProtection="1">
      <protection locked="0"/>
    </xf>
    <xf numFmtId="3" fontId="0" fillId="33" borderId="422" xfId="11" applyFont="1" applyFill="1" applyBorder="1" applyAlignment="1" applyProtection="1">
      <protection locked="0"/>
    </xf>
    <xf numFmtId="0" fontId="0" fillId="33" borderId="423" xfId="0" applyFill="1" applyBorder="1" applyProtection="1">
      <protection locked="0"/>
    </xf>
    <xf numFmtId="0" fontId="0" fillId="33" borderId="424" xfId="0" applyFill="1" applyBorder="1" applyProtection="1">
      <protection locked="0"/>
    </xf>
    <xf numFmtId="3" fontId="22" fillId="0" borderId="227" xfId="15" applyFont="1" applyFill="1" applyBorder="1" applyAlignment="1" applyProtection="1">
      <alignment horizontal="center"/>
    </xf>
    <xf numFmtId="0" fontId="113" fillId="0" borderId="368" xfId="0" applyFont="1" applyBorder="1" applyAlignment="1">
      <alignment horizontal="center"/>
    </xf>
    <xf numFmtId="0" fontId="113" fillId="0" borderId="369" xfId="0" applyFont="1" applyBorder="1" applyAlignment="1">
      <alignment horizontal="center"/>
    </xf>
    <xf numFmtId="3" fontId="22" fillId="0" borderId="136" xfId="15" applyFont="1" applyFill="1" applyBorder="1" applyAlignment="1" applyProtection="1">
      <alignment horizontal="center"/>
    </xf>
    <xf numFmtId="0" fontId="113" fillId="0" borderId="0" xfId="0" applyFont="1" applyAlignment="1">
      <alignment horizontal="center"/>
    </xf>
    <xf numFmtId="0" fontId="113" fillId="0" borderId="50" xfId="0" applyFont="1" applyBorder="1" applyAlignment="1">
      <alignment horizontal="center"/>
    </xf>
    <xf numFmtId="3" fontId="70" fillId="18" borderId="367" xfId="15" applyFont="1" applyFill="1" applyBorder="1" applyAlignment="1" applyProtection="1">
      <alignment horizontal="left"/>
    </xf>
    <xf numFmtId="3" fontId="70" fillId="18" borderId="390" xfId="15" applyFont="1" applyFill="1" applyBorder="1" applyAlignment="1" applyProtection="1">
      <alignment horizontal="left"/>
    </xf>
    <xf numFmtId="3" fontId="29" fillId="0" borderId="185" xfId="15" applyFont="1" applyFill="1" applyBorder="1" applyAlignment="1" applyProtection="1">
      <alignment horizontal="center"/>
    </xf>
    <xf numFmtId="0" fontId="5" fillId="0" borderId="184" xfId="0" applyFont="1" applyBorder="1" applyAlignment="1">
      <alignment horizontal="center"/>
    </xf>
    <xf numFmtId="0" fontId="5" fillId="0" borderId="186" xfId="0" applyFont="1" applyBorder="1" applyAlignment="1">
      <alignment horizontal="center"/>
    </xf>
    <xf numFmtId="3" fontId="29" fillId="0" borderId="227" xfId="15" applyFont="1" applyFill="1" applyBorder="1" applyAlignment="1" applyProtection="1">
      <alignment horizontal="center"/>
    </xf>
    <xf numFmtId="0" fontId="5" fillId="0" borderId="368" xfId="0" applyFont="1" applyBorder="1" applyAlignment="1">
      <alignment horizontal="center"/>
    </xf>
    <xf numFmtId="0" fontId="5" fillId="0" borderId="369" xfId="0" applyFont="1" applyBorder="1" applyAlignment="1">
      <alignment horizontal="center"/>
    </xf>
    <xf numFmtId="0" fontId="187" fillId="7" borderId="227" xfId="45" applyFont="1" applyFill="1" applyBorder="1" applyAlignment="1">
      <alignment horizontal="center"/>
    </xf>
    <xf numFmtId="0" fontId="187" fillId="7" borderId="549" xfId="45" applyFont="1" applyFill="1" applyBorder="1" applyAlignment="1">
      <alignment horizontal="center"/>
    </xf>
    <xf numFmtId="0" fontId="174" fillId="7" borderId="227" xfId="45" applyFont="1" applyFill="1" applyBorder="1" applyAlignment="1">
      <alignment horizontal="center"/>
    </xf>
    <xf numFmtId="0" fontId="174" fillId="7" borderId="913" xfId="45" applyFont="1" applyFill="1" applyBorder="1" applyAlignment="1">
      <alignment horizontal="center"/>
    </xf>
    <xf numFmtId="0" fontId="93" fillId="7" borderId="915" xfId="45" applyFont="1" applyFill="1" applyBorder="1" applyAlignment="1">
      <alignment horizontal="center"/>
    </xf>
    <xf numFmtId="0" fontId="93" fillId="7" borderId="913" xfId="45" applyFont="1" applyFill="1" applyBorder="1" applyAlignment="1">
      <alignment horizontal="center"/>
    </xf>
    <xf numFmtId="0" fontId="93" fillId="7" borderId="914" xfId="45" applyFont="1" applyFill="1" applyBorder="1" applyAlignment="1">
      <alignment horizontal="center"/>
    </xf>
    <xf numFmtId="0" fontId="97" fillId="7" borderId="742" xfId="45" applyFont="1" applyFill="1" applyBorder="1" applyAlignment="1">
      <alignment horizontal="left" wrapText="1"/>
    </xf>
    <xf numFmtId="0" fontId="97" fillId="7" borderId="471" xfId="45" applyFont="1" applyFill="1" applyBorder="1" applyAlignment="1">
      <alignment horizontal="left" wrapText="1"/>
    </xf>
    <xf numFmtId="0" fontId="97" fillId="7" borderId="428" xfId="45" applyFont="1" applyFill="1" applyBorder="1" applyAlignment="1">
      <alignment horizontal="left" wrapText="1"/>
    </xf>
    <xf numFmtId="0" fontId="97" fillId="7" borderId="352" xfId="45" applyFont="1" applyFill="1" applyBorder="1" applyAlignment="1">
      <alignment horizontal="left" wrapText="1"/>
    </xf>
    <xf numFmtId="0" fontId="97" fillId="7" borderId="428" xfId="45" applyFont="1" applyFill="1" applyBorder="1" applyAlignment="1">
      <alignment horizontal="left"/>
    </xf>
    <xf numFmtId="0" fontId="97" fillId="7" borderId="352" xfId="45" applyFont="1" applyFill="1" applyBorder="1" applyAlignment="1">
      <alignment horizontal="left"/>
    </xf>
    <xf numFmtId="0" fontId="99" fillId="7" borderId="421" xfId="0" applyFont="1" applyFill="1" applyBorder="1" applyAlignment="1">
      <alignment horizontal="left" wrapText="1"/>
    </xf>
    <xf numFmtId="0" fontId="99" fillId="0" borderId="205" xfId="0" applyFont="1" applyBorder="1" applyAlignment="1">
      <alignment wrapText="1"/>
    </xf>
    <xf numFmtId="0" fontId="111" fillId="27" borderId="194" xfId="21" applyFont="1" applyFill="1" applyBorder="1" applyAlignment="1">
      <alignment horizontal="left" wrapText="1"/>
    </xf>
    <xf numFmtId="0" fontId="111" fillId="27" borderId="423" xfId="21" applyFont="1" applyFill="1" applyBorder="1" applyAlignment="1">
      <alignment horizontal="left" wrapText="1"/>
    </xf>
    <xf numFmtId="0" fontId="111" fillId="27" borderId="428" xfId="21" applyFont="1" applyFill="1" applyBorder="1" applyAlignment="1">
      <alignment horizontal="left" wrapText="1"/>
    </xf>
    <xf numFmtId="0" fontId="111" fillId="27" borderId="352" xfId="21" applyFont="1" applyFill="1" applyBorder="1" applyAlignment="1">
      <alignment horizontal="left" wrapText="1"/>
    </xf>
    <xf numFmtId="0" fontId="111" fillId="75" borderId="0" xfId="21" applyFont="1" applyFill="1" applyAlignment="1">
      <alignment horizontal="left"/>
    </xf>
    <xf numFmtId="0" fontId="75" fillId="63" borderId="421" xfId="45" applyFill="1" applyBorder="1" applyAlignment="1">
      <alignment horizontal="left"/>
    </xf>
    <xf numFmtId="0" fontId="75" fillId="63" borderId="205" xfId="45" applyFill="1" applyBorder="1" applyAlignment="1">
      <alignment horizontal="left"/>
    </xf>
    <xf numFmtId="0" fontId="111" fillId="0" borderId="0" xfId="21" applyFont="1" applyAlignment="1">
      <alignment horizontal="center"/>
    </xf>
    <xf numFmtId="0" fontId="152" fillId="9" borderId="379" xfId="21" applyFont="1" applyFill="1" applyBorder="1" applyAlignment="1">
      <alignment horizontal="left"/>
    </xf>
    <xf numFmtId="0" fontId="152" fillId="9" borderId="367" xfId="21" applyFont="1" applyFill="1" applyBorder="1" applyAlignment="1">
      <alignment horizontal="left"/>
    </xf>
    <xf numFmtId="0" fontId="152" fillId="9" borderId="136" xfId="21" applyFont="1" applyFill="1" applyBorder="1" applyAlignment="1">
      <alignment horizontal="left"/>
    </xf>
    <xf numFmtId="0" fontId="152" fillId="9" borderId="21" xfId="21" applyFont="1" applyFill="1" applyBorder="1" applyAlignment="1">
      <alignment horizontal="left"/>
    </xf>
    <xf numFmtId="0" fontId="111" fillId="27" borderId="432" xfId="21" applyFont="1" applyFill="1" applyBorder="1" applyAlignment="1">
      <alignment horizontal="left" wrapText="1"/>
    </xf>
    <xf numFmtId="0" fontId="111" fillId="27" borderId="46" xfId="21" applyFont="1" applyFill="1" applyBorder="1" applyAlignment="1">
      <alignment horizontal="left" wrapText="1"/>
    </xf>
    <xf numFmtId="0" fontId="111" fillId="27" borderId="432" xfId="21" applyFont="1" applyFill="1" applyBorder="1" applyAlignment="1">
      <alignment horizontal="left"/>
    </xf>
    <xf numFmtId="0" fontId="111" fillId="27" borderId="46" xfId="21" applyFont="1" applyFill="1" applyBorder="1" applyAlignment="1">
      <alignment horizontal="left"/>
    </xf>
    <xf numFmtId="0" fontId="85" fillId="7" borderId="426" xfId="45" applyFont="1" applyFill="1" applyBorder="1" applyAlignment="1">
      <alignment horizontal="left" wrapText="1"/>
    </xf>
    <xf numFmtId="0" fontId="85" fillId="7" borderId="427" xfId="45" applyFont="1" applyFill="1" applyBorder="1" applyAlignment="1">
      <alignment horizontal="left" wrapText="1"/>
    </xf>
    <xf numFmtId="0" fontId="157" fillId="7" borderId="421" xfId="45" applyFont="1" applyFill="1" applyBorder="1" applyAlignment="1">
      <alignment horizontal="left"/>
    </xf>
    <xf numFmtId="0" fontId="157" fillId="7" borderId="352" xfId="45" applyFont="1" applyFill="1" applyBorder="1" applyAlignment="1">
      <alignment horizontal="left"/>
    </xf>
    <xf numFmtId="0" fontId="157" fillId="7" borderId="205" xfId="45" applyFont="1" applyFill="1" applyBorder="1" applyAlignment="1">
      <alignment horizontal="left"/>
    </xf>
    <xf numFmtId="0" fontId="151" fillId="7" borderId="428" xfId="45" applyFont="1" applyFill="1" applyBorder="1" applyAlignment="1">
      <alignment horizontal="left"/>
    </xf>
    <xf numFmtId="0" fontId="151" fillId="7" borderId="352" xfId="45" applyFont="1" applyFill="1" applyBorder="1" applyAlignment="1">
      <alignment horizontal="left"/>
    </xf>
    <xf numFmtId="0" fontId="154" fillId="30" borderId="440" xfId="45" applyFont="1" applyFill="1" applyBorder="1" applyAlignment="1">
      <alignment horizontal="center" vertical="center" textRotation="90"/>
    </xf>
    <xf numFmtId="0" fontId="154" fillId="30" borderId="169" xfId="45" applyFont="1" applyFill="1" applyBorder="1" applyAlignment="1">
      <alignment horizontal="center" vertical="center" textRotation="90"/>
    </xf>
    <xf numFmtId="3" fontId="97" fillId="7" borderId="136" xfId="0" applyNumberFormat="1" applyFont="1" applyFill="1" applyBorder="1" applyAlignment="1">
      <alignment horizontal="left"/>
    </xf>
    <xf numFmtId="3" fontId="97" fillId="7" borderId="21" xfId="0" applyNumberFormat="1" applyFont="1" applyFill="1" applyBorder="1" applyAlignment="1">
      <alignment horizontal="left"/>
    </xf>
    <xf numFmtId="0" fontId="157" fillId="7" borderId="421" xfId="45" applyFont="1" applyFill="1" applyBorder="1" applyAlignment="1">
      <alignment horizontal="left" wrapText="1"/>
    </xf>
    <xf numFmtId="0" fontId="157" fillId="7" borderId="352" xfId="45" applyFont="1" applyFill="1" applyBorder="1" applyAlignment="1">
      <alignment horizontal="left" wrapText="1"/>
    </xf>
    <xf numFmtId="0" fontId="157" fillId="7" borderId="205" xfId="45" applyFont="1" applyFill="1" applyBorder="1" applyAlignment="1">
      <alignment horizontal="left" wrapText="1"/>
    </xf>
    <xf numFmtId="0" fontId="154" fillId="7" borderId="440" xfId="45" applyFont="1" applyFill="1" applyBorder="1" applyAlignment="1">
      <alignment horizontal="center" vertical="center" textRotation="90"/>
    </xf>
    <xf numFmtId="0" fontId="154" fillId="7" borderId="169" xfId="45" applyFont="1" applyFill="1" applyBorder="1" applyAlignment="1">
      <alignment horizontal="center" vertical="center" textRotation="90"/>
    </xf>
    <xf numFmtId="0" fontId="97" fillId="7" borderId="438" xfId="45" applyFont="1" applyFill="1" applyBorder="1" applyAlignment="1">
      <alignment horizontal="left" wrapText="1"/>
    </xf>
    <xf numFmtId="0" fontId="97" fillId="7" borderId="439" xfId="45" applyFont="1" applyFill="1" applyBorder="1" applyAlignment="1">
      <alignment horizontal="left" wrapText="1"/>
    </xf>
    <xf numFmtId="0" fontId="154" fillId="14" borderId="442" xfId="45" applyFont="1" applyFill="1" applyBorder="1" applyAlignment="1">
      <alignment horizontal="center" vertical="center" textRotation="90" wrapText="1"/>
    </xf>
    <xf numFmtId="0" fontId="154" fillId="14" borderId="169" xfId="45" applyFont="1" applyFill="1" applyBorder="1" applyAlignment="1">
      <alignment horizontal="center" vertical="center" textRotation="90" wrapText="1"/>
    </xf>
    <xf numFmtId="0" fontId="151" fillId="7" borderId="428" xfId="45" applyFont="1" applyFill="1" applyBorder="1" applyAlignment="1">
      <alignment horizontal="left" wrapText="1"/>
    </xf>
    <xf numFmtId="0" fontId="151" fillId="7" borderId="352" xfId="45" applyFont="1" applyFill="1" applyBorder="1" applyAlignment="1">
      <alignment horizontal="left" wrapText="1"/>
    </xf>
    <xf numFmtId="0" fontId="75" fillId="40" borderId="465" xfId="45" applyFill="1" applyBorder="1" applyAlignment="1">
      <alignment horizontal="left"/>
    </xf>
    <xf numFmtId="0" fontId="75" fillId="40" borderId="466" xfId="45" applyFill="1" applyBorder="1" applyAlignment="1">
      <alignment horizontal="left"/>
    </xf>
    <xf numFmtId="0" fontId="97" fillId="7" borderId="467" xfId="45" applyFont="1" applyFill="1" applyBorder="1" applyAlignment="1">
      <alignment horizontal="left" wrapText="1"/>
    </xf>
    <xf numFmtId="0" fontId="97" fillId="7" borderId="751" xfId="45" applyFont="1" applyFill="1" applyBorder="1" applyAlignment="1">
      <alignment horizontal="left" wrapText="1"/>
    </xf>
    <xf numFmtId="0" fontId="97" fillId="7" borderId="429" xfId="45" applyFont="1" applyFill="1" applyBorder="1" applyAlignment="1">
      <alignment horizontal="left"/>
    </xf>
    <xf numFmtId="0" fontId="97" fillId="7" borderId="751" xfId="45" applyFont="1" applyFill="1" applyBorder="1" applyAlignment="1">
      <alignment horizontal="left"/>
    </xf>
    <xf numFmtId="0" fontId="97" fillId="7" borderId="429" xfId="45" applyFont="1" applyFill="1" applyBorder="1" applyAlignment="1">
      <alignment horizontal="left" wrapText="1"/>
    </xf>
    <xf numFmtId="0" fontId="111" fillId="7" borderId="465" xfId="45" applyFont="1" applyFill="1" applyBorder="1" applyAlignment="1">
      <alignment horizontal="left" wrapText="1"/>
    </xf>
    <xf numFmtId="0" fontId="111" fillId="7" borderId="352" xfId="45" applyFont="1" applyFill="1" applyBorder="1" applyAlignment="1">
      <alignment horizontal="left" wrapText="1"/>
    </xf>
    <xf numFmtId="0" fontId="75" fillId="69" borderId="465" xfId="45" applyFill="1" applyBorder="1" applyAlignment="1">
      <alignment horizontal="left"/>
    </xf>
    <xf numFmtId="0" fontId="75" fillId="69" borderId="466" xfId="45" applyFill="1" applyBorder="1" applyAlignment="1">
      <alignment horizontal="left"/>
    </xf>
    <xf numFmtId="0" fontId="75" fillId="39" borderId="465" xfId="45" applyFill="1" applyBorder="1" applyAlignment="1">
      <alignment horizontal="left"/>
    </xf>
    <xf numFmtId="0" fontId="75" fillId="39" borderId="466" xfId="45" applyFill="1" applyBorder="1" applyAlignment="1">
      <alignment horizontal="left"/>
    </xf>
    <xf numFmtId="0" fontId="75" fillId="62" borderId="465" xfId="45" applyFill="1" applyBorder="1" applyAlignment="1">
      <alignment horizontal="left"/>
    </xf>
    <xf numFmtId="0" fontId="75" fillId="62" borderId="466" xfId="45" applyFill="1" applyBorder="1" applyAlignment="1">
      <alignment horizontal="left"/>
    </xf>
    <xf numFmtId="0" fontId="75" fillId="63" borderId="465" xfId="45" applyFill="1" applyBorder="1" applyAlignment="1">
      <alignment horizontal="left"/>
    </xf>
    <xf numFmtId="0" fontId="75" fillId="63" borderId="466" xfId="45" applyFill="1" applyBorder="1" applyAlignment="1">
      <alignment horizontal="left"/>
    </xf>
    <xf numFmtId="0" fontId="75" fillId="67" borderId="465" xfId="45" applyFill="1" applyBorder="1" applyAlignment="1">
      <alignment horizontal="left"/>
    </xf>
    <xf numFmtId="0" fontId="75" fillId="67" borderId="466" xfId="45" applyFill="1" applyBorder="1" applyAlignment="1">
      <alignment horizontal="left"/>
    </xf>
    <xf numFmtId="0" fontId="75" fillId="73" borderId="465" xfId="45" applyFill="1" applyBorder="1" applyAlignment="1">
      <alignment horizontal="left"/>
    </xf>
    <xf numFmtId="0" fontId="75" fillId="73" borderId="466" xfId="45" applyFill="1" applyBorder="1" applyAlignment="1">
      <alignment horizontal="left"/>
    </xf>
    <xf numFmtId="0" fontId="121" fillId="7" borderId="394" xfId="45" applyFont="1" applyFill="1" applyBorder="1" applyAlignment="1">
      <alignment horizontal="center"/>
    </xf>
    <xf numFmtId="0" fontId="4" fillId="7" borderId="386" xfId="0" applyFont="1" applyFill="1" applyBorder="1" applyAlignment="1">
      <alignment horizontal="center" wrapText="1"/>
    </xf>
    <xf numFmtId="0" fontId="4" fillId="7" borderId="369" xfId="0" applyFont="1" applyFill="1" applyBorder="1" applyAlignment="1">
      <alignment horizontal="center" wrapText="1"/>
    </xf>
    <xf numFmtId="0" fontId="111" fillId="7" borderId="467" xfId="45" applyFont="1" applyFill="1" applyBorder="1" applyAlignment="1">
      <alignment horizontal="left"/>
    </xf>
    <xf numFmtId="0" fontId="111" fillId="7" borderId="751" xfId="45" applyFont="1" applyFill="1" applyBorder="1" applyAlignment="1">
      <alignment horizontal="left"/>
    </xf>
    <xf numFmtId="0" fontId="97" fillId="7" borderId="468" xfId="45" applyFont="1" applyFill="1" applyBorder="1" applyAlignment="1">
      <alignment horizontal="left" wrapText="1"/>
    </xf>
    <xf numFmtId="0" fontId="121" fillId="67" borderId="185" xfId="45" applyFont="1" applyFill="1" applyBorder="1" applyAlignment="1">
      <alignment horizontal="center"/>
    </xf>
    <xf numFmtId="0" fontId="121" fillId="67" borderId="184" xfId="45" applyFont="1" applyFill="1" applyBorder="1" applyAlignment="1">
      <alignment horizontal="center"/>
    </xf>
    <xf numFmtId="0" fontId="121" fillId="67" borderId="394" xfId="45" applyFont="1" applyFill="1" applyBorder="1" applyAlignment="1">
      <alignment horizontal="center"/>
    </xf>
    <xf numFmtId="0" fontId="121" fillId="67" borderId="730" xfId="45" applyFont="1" applyFill="1" applyBorder="1" applyAlignment="1">
      <alignment horizontal="center"/>
    </xf>
    <xf numFmtId="0" fontId="82" fillId="11" borderId="185" xfId="45" applyFont="1" applyFill="1" applyBorder="1" applyAlignment="1">
      <alignment horizontal="center" vertical="center" wrapText="1"/>
    </xf>
    <xf numFmtId="0" fontId="0" fillId="11" borderId="186" xfId="0" applyFill="1" applyBorder="1" applyAlignment="1">
      <alignment horizontal="center" wrapText="1"/>
    </xf>
    <xf numFmtId="0" fontId="0" fillId="11" borderId="136" xfId="0" applyFill="1" applyBorder="1" applyAlignment="1">
      <alignment horizontal="center" wrapText="1"/>
    </xf>
    <xf numFmtId="0" fontId="0" fillId="11" borderId="50" xfId="0" applyFill="1" applyBorder="1" applyAlignment="1">
      <alignment horizontal="center" wrapText="1"/>
    </xf>
    <xf numFmtId="0" fontId="111" fillId="7" borderId="467" xfId="45" applyFont="1" applyFill="1" applyBorder="1" applyAlignment="1">
      <alignment horizontal="left" wrapText="1"/>
    </xf>
    <xf numFmtId="0" fontId="111" fillId="7" borderId="751" xfId="45" applyFont="1" applyFill="1" applyBorder="1" applyAlignment="1">
      <alignment horizontal="left" wrapText="1"/>
    </xf>
    <xf numFmtId="0" fontId="151" fillId="7" borderId="429" xfId="45" applyFont="1" applyFill="1" applyBorder="1" applyAlignment="1">
      <alignment horizontal="left"/>
    </xf>
    <xf numFmtId="0" fontId="151" fillId="7" borderId="751" xfId="45" applyFont="1" applyFill="1" applyBorder="1" applyAlignment="1">
      <alignment horizontal="left"/>
    </xf>
    <xf numFmtId="0" fontId="119" fillId="7" borderId="0" xfId="45" applyFont="1" applyFill="1"/>
    <xf numFmtId="0" fontId="120" fillId="30" borderId="386" xfId="45" applyFont="1" applyFill="1" applyBorder="1" applyAlignment="1">
      <alignment horizontal="center"/>
    </xf>
    <xf numFmtId="0" fontId="115" fillId="30" borderId="394" xfId="0" applyFont="1" applyFill="1" applyBorder="1" applyAlignment="1">
      <alignment horizontal="center"/>
    </xf>
    <xf numFmtId="0" fontId="115" fillId="30" borderId="369" xfId="0" applyFont="1" applyFill="1" applyBorder="1" applyAlignment="1">
      <alignment horizontal="center"/>
    </xf>
    <xf numFmtId="0" fontId="120" fillId="11" borderId="386" xfId="45" applyFont="1" applyFill="1" applyBorder="1" applyAlignment="1">
      <alignment horizontal="center"/>
    </xf>
    <xf numFmtId="0" fontId="120" fillId="11" borderId="394" xfId="45" applyFont="1" applyFill="1" applyBorder="1" applyAlignment="1">
      <alignment horizontal="center"/>
    </xf>
    <xf numFmtId="0" fontId="115" fillId="11" borderId="394" xfId="0" applyFont="1" applyFill="1" applyBorder="1" applyAlignment="1">
      <alignment horizontal="center"/>
    </xf>
    <xf numFmtId="0" fontId="115" fillId="11" borderId="369" xfId="0" applyFont="1" applyFill="1" applyBorder="1" applyAlignment="1">
      <alignment horizontal="center"/>
    </xf>
    <xf numFmtId="0" fontId="4" fillId="80" borderId="386" xfId="0" applyFont="1" applyFill="1" applyBorder="1" applyAlignment="1">
      <alignment horizontal="center" wrapText="1"/>
    </xf>
    <xf numFmtId="0" fontId="4" fillId="80" borderId="369" xfId="0" applyFont="1" applyFill="1" applyBorder="1" applyAlignment="1">
      <alignment horizontal="center" wrapText="1"/>
    </xf>
    <xf numFmtId="0" fontId="121" fillId="80" borderId="184" xfId="45" applyFont="1" applyFill="1" applyBorder="1" applyAlignment="1">
      <alignment horizontal="center"/>
    </xf>
    <xf numFmtId="0" fontId="4" fillId="79" borderId="196" xfId="0" applyFont="1" applyFill="1" applyBorder="1" applyAlignment="1">
      <alignment horizontal="center"/>
    </xf>
    <xf numFmtId="0" fontId="4" fillId="79" borderId="200" xfId="0" applyFont="1" applyFill="1" applyBorder="1" applyAlignment="1">
      <alignment horizontal="center"/>
    </xf>
    <xf numFmtId="0" fontId="121" fillId="79" borderId="184" xfId="45" applyFont="1" applyFill="1" applyBorder="1" applyAlignment="1">
      <alignment horizontal="center"/>
    </xf>
    <xf numFmtId="0" fontId="121" fillId="79" borderId="191" xfId="45" applyFont="1" applyFill="1" applyBorder="1" applyAlignment="1">
      <alignment horizontal="center"/>
    </xf>
    <xf numFmtId="0" fontId="120" fillId="67" borderId="386" xfId="45" applyFont="1" applyFill="1" applyBorder="1" applyAlignment="1">
      <alignment horizontal="center" vertical="center" wrapText="1"/>
    </xf>
    <xf numFmtId="0" fontId="120" fillId="67" borderId="394" xfId="45" applyFont="1" applyFill="1" applyBorder="1" applyAlignment="1">
      <alignment horizontal="center" vertical="center" wrapText="1"/>
    </xf>
    <xf numFmtId="0" fontId="120" fillId="67" borderId="730" xfId="45" applyFont="1" applyFill="1" applyBorder="1" applyAlignment="1">
      <alignment horizontal="center" vertical="center" wrapText="1"/>
    </xf>
    <xf numFmtId="0" fontId="120" fillId="67" borderId="369" xfId="45" applyFont="1" applyFill="1" applyBorder="1" applyAlignment="1">
      <alignment horizontal="center" vertical="center" wrapText="1"/>
    </xf>
    <xf numFmtId="0" fontId="150" fillId="78" borderId="386" xfId="45" applyFont="1" applyFill="1" applyBorder="1" applyAlignment="1">
      <alignment horizontal="center" vertical="center" wrapText="1"/>
    </xf>
    <xf numFmtId="0" fontId="150" fillId="78" borderId="730" xfId="45" applyFont="1" applyFill="1" applyBorder="1" applyAlignment="1">
      <alignment horizontal="center" vertical="center" wrapText="1"/>
    </xf>
    <xf numFmtId="0" fontId="149" fillId="78" borderId="394" xfId="45" applyFont="1" applyFill="1" applyBorder="1" applyAlignment="1">
      <alignment horizontal="center" vertical="center" wrapText="1"/>
    </xf>
    <xf numFmtId="0" fontId="149" fillId="78" borderId="730" xfId="45" applyFont="1" applyFill="1" applyBorder="1" applyAlignment="1">
      <alignment horizontal="center" vertical="center" wrapText="1"/>
    </xf>
    <xf numFmtId="0" fontId="149" fillId="78" borderId="369" xfId="45" applyFont="1" applyFill="1" applyBorder="1" applyAlignment="1">
      <alignment horizontal="center" vertical="center" wrapText="1"/>
    </xf>
    <xf numFmtId="0" fontId="120" fillId="81" borderId="386" xfId="45" applyFont="1" applyFill="1" applyBorder="1" applyAlignment="1">
      <alignment horizontal="center" vertical="center" wrapText="1"/>
    </xf>
    <xf numFmtId="0" fontId="120" fillId="81" borderId="730" xfId="45" applyFont="1" applyFill="1" applyBorder="1" applyAlignment="1">
      <alignment horizontal="center" vertical="center" wrapText="1"/>
    </xf>
    <xf numFmtId="0" fontId="120" fillId="81" borderId="394" xfId="45" applyFont="1" applyFill="1" applyBorder="1" applyAlignment="1">
      <alignment horizontal="center" vertical="center" wrapText="1"/>
    </xf>
    <xf numFmtId="0" fontId="120" fillId="81" borderId="369" xfId="45" applyFont="1" applyFill="1" applyBorder="1" applyAlignment="1">
      <alignment horizontal="center" vertical="center" wrapText="1"/>
    </xf>
    <xf numFmtId="0" fontId="120" fillId="39" borderId="386" xfId="45" applyFont="1" applyFill="1" applyBorder="1" applyAlignment="1">
      <alignment horizontal="center" wrapText="1"/>
    </xf>
    <xf numFmtId="0" fontId="115" fillId="39" borderId="394" xfId="0" applyFont="1" applyFill="1" applyBorder="1" applyAlignment="1">
      <alignment horizontal="center" wrapText="1"/>
    </xf>
    <xf numFmtId="0" fontId="115" fillId="39" borderId="369" xfId="0" applyFont="1" applyFill="1" applyBorder="1" applyAlignment="1">
      <alignment horizontal="center" wrapText="1"/>
    </xf>
    <xf numFmtId="0" fontId="120" fillId="80" borderId="386" xfId="45" applyFont="1" applyFill="1" applyBorder="1" applyAlignment="1">
      <alignment horizontal="center" wrapText="1"/>
    </xf>
    <xf numFmtId="0" fontId="120" fillId="80" borderId="394" xfId="45" applyFont="1" applyFill="1" applyBorder="1" applyAlignment="1">
      <alignment horizontal="center" wrapText="1"/>
    </xf>
    <xf numFmtId="0" fontId="115" fillId="80" borderId="394" xfId="0" applyFont="1" applyFill="1" applyBorder="1" applyAlignment="1">
      <alignment horizontal="center" wrapText="1"/>
    </xf>
    <xf numFmtId="0" fontId="115" fillId="80" borderId="369" xfId="0" applyFont="1" applyFill="1" applyBorder="1" applyAlignment="1">
      <alignment horizontal="center" wrapText="1"/>
    </xf>
    <xf numFmtId="0" fontId="120" fillId="79" borderId="386" xfId="45" applyFont="1" applyFill="1" applyBorder="1" applyAlignment="1">
      <alignment horizontal="center" wrapText="1"/>
    </xf>
    <xf numFmtId="0" fontId="115" fillId="79" borderId="394" xfId="0" applyFont="1" applyFill="1" applyBorder="1" applyAlignment="1">
      <alignment horizontal="center" wrapText="1"/>
    </xf>
    <xf numFmtId="0" fontId="115" fillId="79" borderId="369" xfId="0" applyFont="1" applyFill="1" applyBorder="1" applyAlignment="1">
      <alignment horizontal="center" wrapText="1"/>
    </xf>
    <xf numFmtId="0" fontId="120" fillId="7" borderId="386" xfId="45" applyFont="1" applyFill="1" applyBorder="1" applyAlignment="1">
      <alignment horizontal="center" vertical="center" wrapText="1"/>
    </xf>
    <xf numFmtId="0" fontId="120" fillId="7" borderId="394" xfId="45" applyFont="1" applyFill="1" applyBorder="1" applyAlignment="1">
      <alignment horizontal="center" vertical="center" wrapText="1"/>
    </xf>
    <xf numFmtId="0" fontId="120" fillId="7" borderId="369" xfId="45" applyFont="1" applyFill="1" applyBorder="1" applyAlignment="1">
      <alignment horizontal="center" vertical="center" wrapText="1"/>
    </xf>
    <xf numFmtId="0" fontId="184" fillId="82" borderId="386" xfId="45" applyFont="1" applyFill="1" applyBorder="1" applyAlignment="1">
      <alignment horizontal="center"/>
    </xf>
    <xf numFmtId="0" fontId="184" fillId="82" borderId="394" xfId="45" applyFont="1" applyFill="1" applyBorder="1" applyAlignment="1">
      <alignment horizontal="center"/>
    </xf>
    <xf numFmtId="0" fontId="184" fillId="82" borderId="730" xfId="45" applyFont="1" applyFill="1" applyBorder="1" applyAlignment="1">
      <alignment horizontal="center"/>
    </xf>
    <xf numFmtId="0" fontId="184" fillId="82" borderId="369" xfId="45" applyFont="1" applyFill="1" applyBorder="1" applyAlignment="1">
      <alignment horizontal="center"/>
    </xf>
    <xf numFmtId="4" fontId="84" fillId="0" borderId="36" xfId="46" applyNumberFormat="1" applyFont="1" applyFill="1" applyBorder="1" applyAlignment="1">
      <alignment horizontal="left"/>
    </xf>
    <xf numFmtId="0" fontId="30" fillId="67" borderId="386" xfId="0" applyFont="1" applyFill="1" applyBorder="1" applyAlignment="1">
      <alignment horizontal="center" wrapText="1"/>
    </xf>
    <xf numFmtId="0" fontId="30" fillId="67" borderId="369" xfId="0" applyFont="1" applyFill="1" applyBorder="1" applyAlignment="1">
      <alignment horizontal="center" wrapText="1"/>
    </xf>
    <xf numFmtId="0" fontId="4" fillId="78" borderId="386" xfId="0" applyFont="1" applyFill="1" applyBorder="1" applyAlignment="1">
      <alignment horizontal="center" wrapText="1"/>
    </xf>
    <xf numFmtId="0" fontId="4" fillId="78" borderId="369" xfId="0" applyFont="1" applyFill="1" applyBorder="1" applyAlignment="1">
      <alignment horizontal="center" wrapText="1"/>
    </xf>
    <xf numFmtId="0" fontId="4" fillId="39" borderId="386" xfId="0" applyFont="1" applyFill="1" applyBorder="1" applyAlignment="1">
      <alignment horizontal="center" wrapText="1"/>
    </xf>
    <xf numFmtId="0" fontId="4" fillId="39" borderId="369" xfId="0" applyFont="1" applyFill="1" applyBorder="1" applyAlignment="1">
      <alignment horizontal="center" wrapText="1"/>
    </xf>
    <xf numFmtId="0" fontId="121" fillId="39" borderId="394" xfId="45" applyFont="1" applyFill="1" applyBorder="1" applyAlignment="1">
      <alignment horizontal="center" wrapText="1"/>
    </xf>
    <xf numFmtId="0" fontId="121" fillId="81" borderId="394" xfId="45" applyFont="1" applyFill="1" applyBorder="1" applyAlignment="1">
      <alignment horizontal="center"/>
    </xf>
    <xf numFmtId="0" fontId="121" fillId="81" borderId="730" xfId="45" applyFont="1" applyFill="1" applyBorder="1" applyAlignment="1">
      <alignment horizontal="center"/>
    </xf>
    <xf numFmtId="0" fontId="4" fillId="81" borderId="386" xfId="0" applyFont="1" applyFill="1" applyBorder="1" applyAlignment="1">
      <alignment horizontal="center" wrapText="1"/>
    </xf>
    <xf numFmtId="0" fontId="4" fillId="81" borderId="369" xfId="0" applyFont="1" applyFill="1" applyBorder="1" applyAlignment="1">
      <alignment horizontal="center" wrapText="1"/>
    </xf>
    <xf numFmtId="0" fontId="152" fillId="10" borderId="0" xfId="45" applyFont="1" applyFill="1" applyAlignment="1">
      <alignment horizontal="left"/>
    </xf>
    <xf numFmtId="0" fontId="152" fillId="10" borderId="109" xfId="45" applyFont="1" applyFill="1" applyBorder="1" applyAlignment="1">
      <alignment horizontal="left"/>
    </xf>
    <xf numFmtId="0" fontId="121" fillId="78" borderId="730" xfId="45" applyFont="1" applyFill="1" applyBorder="1" applyAlignment="1">
      <alignment horizontal="center" wrapText="1"/>
    </xf>
    <xf numFmtId="0" fontId="121" fillId="78" borderId="230" xfId="45" applyFont="1" applyFill="1" applyBorder="1" applyAlignment="1">
      <alignment horizontal="center" wrapText="1"/>
    </xf>
    <xf numFmtId="0" fontId="121" fillId="78" borderId="227" xfId="45" applyFont="1" applyFill="1" applyBorder="1" applyAlignment="1">
      <alignment horizontal="center" wrapText="1"/>
    </xf>
    <xf numFmtId="0" fontId="121" fillId="78" borderId="227" xfId="45" applyFont="1" applyFill="1" applyBorder="1" applyAlignment="1">
      <alignment horizontal="center"/>
    </xf>
    <xf numFmtId="0" fontId="121" fillId="78" borderId="730" xfId="45" applyFont="1" applyFill="1" applyBorder="1" applyAlignment="1">
      <alignment horizontal="center"/>
    </xf>
    <xf numFmtId="0" fontId="121" fillId="78" borderId="230" xfId="45" applyFont="1" applyFill="1" applyBorder="1" applyAlignment="1">
      <alignment horizontal="center"/>
    </xf>
    <xf numFmtId="0" fontId="97" fillId="30" borderId="486" xfId="45" applyFont="1" applyFill="1" applyBorder="1" applyAlignment="1">
      <alignment horizontal="left" wrapText="1"/>
    </xf>
    <xf numFmtId="0" fontId="97" fillId="7" borderId="482" xfId="45" applyFont="1" applyFill="1" applyBorder="1" applyAlignment="1">
      <alignment horizontal="left" wrapText="1"/>
    </xf>
    <xf numFmtId="0" fontId="97" fillId="7" borderId="483" xfId="45" applyFont="1" applyFill="1" applyBorder="1" applyAlignment="1">
      <alignment horizontal="left" wrapText="1"/>
    </xf>
    <xf numFmtId="0" fontId="111" fillId="27" borderId="467" xfId="21" applyFont="1" applyFill="1" applyBorder="1" applyAlignment="1">
      <alignment horizontal="left" wrapText="1"/>
    </xf>
    <xf numFmtId="0" fontId="111" fillId="27" borderId="751" xfId="21" applyFont="1" applyFill="1" applyBorder="1" applyAlignment="1">
      <alignment horizontal="left" wrapText="1"/>
    </xf>
    <xf numFmtId="0" fontId="111" fillId="27" borderId="468" xfId="21" applyFont="1" applyFill="1" applyBorder="1" applyAlignment="1">
      <alignment horizontal="left" wrapText="1"/>
    </xf>
    <xf numFmtId="0" fontId="154" fillId="7" borderId="442" xfId="45" applyFont="1" applyFill="1" applyBorder="1" applyAlignment="1">
      <alignment horizontal="center" vertical="center" textRotation="90"/>
    </xf>
    <xf numFmtId="0" fontId="97" fillId="10" borderId="0" xfId="45" applyFont="1" applyFill="1" applyAlignment="1">
      <alignment horizontal="left"/>
    </xf>
    <xf numFmtId="0" fontId="157" fillId="7" borderId="349" xfId="45" applyFont="1" applyFill="1" applyBorder="1" applyAlignment="1">
      <alignment horizontal="left" wrapText="1"/>
    </xf>
    <xf numFmtId="0" fontId="157" fillId="7" borderId="46" xfId="45" applyFont="1" applyFill="1" applyBorder="1" applyAlignment="1">
      <alignment horizontal="left" wrapText="1"/>
    </xf>
    <xf numFmtId="0" fontId="99" fillId="7" borderId="474" xfId="0" applyFont="1" applyFill="1" applyBorder="1" applyAlignment="1">
      <alignment horizontal="left" wrapText="1"/>
    </xf>
    <xf numFmtId="0" fontId="97" fillId="0" borderId="475" xfId="0" applyFont="1" applyBorder="1" applyAlignment="1">
      <alignment wrapText="1"/>
    </xf>
    <xf numFmtId="0" fontId="154" fillId="30" borderId="486" xfId="45" applyFont="1" applyFill="1" applyBorder="1" applyAlignment="1">
      <alignment horizontal="center" vertical="center" textRotation="90"/>
    </xf>
    <xf numFmtId="0" fontId="97" fillId="7" borderId="421" xfId="45" applyFont="1" applyFill="1" applyBorder="1" applyAlignment="1">
      <alignment horizontal="left"/>
    </xf>
    <xf numFmtId="0" fontId="4" fillId="0" borderId="196" xfId="0" applyFont="1" applyBorder="1" applyAlignment="1">
      <alignment horizontal="center"/>
    </xf>
    <xf numFmtId="0" fontId="4" fillId="0" borderId="211" xfId="0" applyFont="1" applyBorder="1" applyAlignment="1">
      <alignment horizontal="center"/>
    </xf>
    <xf numFmtId="0" fontId="29" fillId="0" borderId="370" xfId="0" applyFont="1" applyBorder="1" applyAlignment="1">
      <alignment horizontal="center"/>
    </xf>
    <xf numFmtId="0" fontId="29" fillId="0" borderId="487" xfId="0" applyFont="1" applyBorder="1" applyAlignment="1">
      <alignment horizontal="center"/>
    </xf>
    <xf numFmtId="0" fontId="64" fillId="10" borderId="532" xfId="0" applyFont="1" applyFill="1" applyBorder="1" applyAlignment="1">
      <alignment horizontal="left"/>
    </xf>
    <xf numFmtId="0" fontId="64" fillId="10" borderId="548" xfId="0" applyFont="1" applyFill="1" applyBorder="1" applyAlignment="1">
      <alignment horizontal="left"/>
    </xf>
    <xf numFmtId="0" fontId="63" fillId="10" borderId="532" xfId="0" applyFont="1" applyFill="1" applyBorder="1" applyAlignment="1">
      <alignment horizontal="left"/>
    </xf>
    <xf numFmtId="0" fontId="63" fillId="10" borderId="548" xfId="0" applyFont="1" applyFill="1" applyBorder="1" applyAlignment="1">
      <alignment horizontal="left"/>
    </xf>
    <xf numFmtId="4" fontId="4" fillId="33" borderId="562" xfId="1" applyFont="1" applyFill="1" applyBorder="1" applyAlignment="1" applyProtection="1">
      <alignment horizontal="right"/>
      <protection locked="0"/>
    </xf>
    <xf numFmtId="4" fontId="4" fillId="33" borderId="352" xfId="1" applyFont="1" applyFill="1" applyBorder="1" applyAlignment="1" applyProtection="1">
      <alignment horizontal="right"/>
      <protection locked="0"/>
    </xf>
    <xf numFmtId="4" fontId="4" fillId="33" borderId="471" xfId="1" applyFont="1" applyFill="1" applyBorder="1" applyAlignment="1" applyProtection="1">
      <alignment horizontal="right"/>
      <protection locked="0"/>
    </xf>
    <xf numFmtId="4" fontId="4" fillId="33" borderId="194" xfId="1" applyFont="1" applyFill="1" applyBorder="1" applyAlignment="1" applyProtection="1">
      <alignment horizontal="right"/>
      <protection locked="0"/>
    </xf>
    <xf numFmtId="4" fontId="4" fillId="33" borderId="423" xfId="1" applyFont="1" applyFill="1" applyBorder="1" applyAlignment="1" applyProtection="1">
      <alignment horizontal="right"/>
      <protection locked="0"/>
    </xf>
    <xf numFmtId="4" fontId="4" fillId="33" borderId="561" xfId="1" applyFont="1" applyFill="1" applyBorder="1" applyAlignment="1" applyProtection="1">
      <alignment horizontal="right"/>
      <protection locked="0"/>
    </xf>
    <xf numFmtId="0" fontId="4" fillId="33" borderId="501" xfId="0" applyFont="1" applyFill="1" applyBorder="1" applyAlignment="1" applyProtection="1">
      <alignment horizontal="left"/>
      <protection locked="0"/>
    </xf>
    <xf numFmtId="0" fontId="4" fillId="33" borderId="493" xfId="0" applyFont="1" applyFill="1" applyBorder="1" applyAlignment="1" applyProtection="1">
      <alignment horizontal="left"/>
      <protection locked="0"/>
    </xf>
    <xf numFmtId="4" fontId="64" fillId="10" borderId="532" xfId="0" applyNumberFormat="1" applyFont="1" applyFill="1" applyBorder="1" applyAlignment="1">
      <alignment horizontal="right"/>
    </xf>
    <xf numFmtId="4" fontId="64" fillId="10" borderId="548" xfId="0" applyNumberFormat="1" applyFont="1" applyFill="1" applyBorder="1" applyAlignment="1">
      <alignment horizontal="right"/>
    </xf>
    <xf numFmtId="4" fontId="64" fillId="10" borderId="549" xfId="0" applyNumberFormat="1" applyFont="1" applyFill="1" applyBorder="1" applyAlignment="1">
      <alignment horizontal="right"/>
    </xf>
    <xf numFmtId="4" fontId="63" fillId="10" borderId="532" xfId="0" applyNumberFormat="1" applyFont="1" applyFill="1" applyBorder="1" applyAlignment="1">
      <alignment horizontal="right"/>
    </xf>
    <xf numFmtId="4" fontId="63" fillId="10" borderId="549" xfId="0" applyNumberFormat="1" applyFont="1" applyFill="1" applyBorder="1" applyAlignment="1">
      <alignment horizontal="right"/>
    </xf>
    <xf numFmtId="4" fontId="64" fillId="10" borderId="281" xfId="0" applyNumberFormat="1" applyFont="1" applyFill="1" applyBorder="1" applyAlignment="1">
      <alignment horizontal="right"/>
    </xf>
    <xf numFmtId="4" fontId="64" fillId="10" borderId="252" xfId="0" applyNumberFormat="1" applyFont="1" applyFill="1" applyBorder="1" applyAlignment="1">
      <alignment horizontal="right"/>
    </xf>
    <xf numFmtId="4" fontId="63" fillId="10" borderId="548" xfId="0" applyNumberFormat="1" applyFont="1" applyFill="1" applyBorder="1" applyAlignment="1">
      <alignment horizontal="right"/>
    </xf>
    <xf numFmtId="0" fontId="22" fillId="11" borderId="185" xfId="0" applyFont="1" applyFill="1" applyBorder="1" applyAlignment="1">
      <alignment horizontal="center"/>
    </xf>
    <xf numFmtId="0" fontId="22" fillId="11" borderId="184" xfId="0" applyFont="1" applyFill="1" applyBorder="1" applyAlignment="1">
      <alignment horizontal="center"/>
    </xf>
    <xf numFmtId="0" fontId="22" fillId="11" borderId="186" xfId="0" applyFont="1" applyFill="1" applyBorder="1" applyAlignment="1">
      <alignment horizontal="center"/>
    </xf>
    <xf numFmtId="0" fontId="22" fillId="11" borderId="281" xfId="0" applyFont="1" applyFill="1" applyBorder="1" applyAlignment="1">
      <alignment horizontal="center"/>
    </xf>
    <xf numFmtId="0" fontId="22" fillId="11" borderId="196" xfId="0" applyFont="1" applyFill="1" applyBorder="1" applyAlignment="1">
      <alignment horizontal="center"/>
    </xf>
    <xf numFmtId="0" fontId="22" fillId="11" borderId="252" xfId="0" applyFont="1" applyFill="1" applyBorder="1" applyAlignment="1">
      <alignment horizontal="center"/>
    </xf>
    <xf numFmtId="0" fontId="4" fillId="7" borderId="50" xfId="0" applyFont="1" applyFill="1" applyBorder="1" applyAlignment="1">
      <alignment horizontal="center" vertical="center" wrapText="1"/>
    </xf>
    <xf numFmtId="3" fontId="70" fillId="18" borderId="0" xfId="15" applyFont="1" applyFill="1" applyBorder="1" applyAlignment="1" applyProtection="1">
      <alignment horizontal="left"/>
    </xf>
    <xf numFmtId="3" fontId="70" fillId="18" borderId="50" xfId="15" applyFont="1" applyFill="1" applyBorder="1" applyAlignment="1" applyProtection="1">
      <alignment horizontal="left"/>
    </xf>
    <xf numFmtId="3" fontId="38" fillId="11" borderId="185" xfId="15" applyFont="1" applyFill="1" applyBorder="1" applyAlignment="1" applyProtection="1">
      <alignment horizontal="left" vertical="center"/>
    </xf>
    <xf numFmtId="3" fontId="38" fillId="11" borderId="184" xfId="15" applyFont="1" applyFill="1" applyBorder="1" applyAlignment="1" applyProtection="1">
      <alignment horizontal="left" vertical="center"/>
    </xf>
    <xf numFmtId="3" fontId="38" fillId="11" borderId="186" xfId="15" applyFont="1" applyFill="1" applyBorder="1" applyAlignment="1" applyProtection="1">
      <alignment horizontal="left" vertical="center"/>
    </xf>
    <xf numFmtId="3" fontId="38" fillId="11" borderId="281" xfId="15" applyFont="1" applyFill="1" applyBorder="1" applyAlignment="1" applyProtection="1">
      <alignment horizontal="left" vertical="center"/>
    </xf>
    <xf numFmtId="3" fontId="38" fillId="11" borderId="196" xfId="15" applyFont="1" applyFill="1" applyBorder="1" applyAlignment="1" applyProtection="1">
      <alignment horizontal="left" vertical="center"/>
    </xf>
    <xf numFmtId="3" fontId="38" fillId="11" borderId="252" xfId="15" applyFont="1" applyFill="1" applyBorder="1" applyAlignment="1" applyProtection="1">
      <alignment horizontal="left" vertical="center"/>
    </xf>
    <xf numFmtId="3" fontId="38" fillId="3" borderId="281" xfId="15" applyFont="1" applyFill="1" applyBorder="1" applyAlignment="1" applyProtection="1">
      <alignment horizontal="center"/>
    </xf>
    <xf numFmtId="3" fontId="38" fillId="3" borderId="252" xfId="15" applyFont="1" applyFill="1" applyBorder="1" applyAlignment="1" applyProtection="1">
      <alignment horizontal="center"/>
    </xf>
    <xf numFmtId="4" fontId="101" fillId="33" borderId="537" xfId="15" applyNumberFormat="1" applyFont="1" applyFill="1" applyBorder="1" applyAlignment="1" applyProtection="1">
      <alignment horizontal="right"/>
      <protection locked="0"/>
    </xf>
    <xf numFmtId="4" fontId="101" fillId="33" borderId="538" xfId="15" applyNumberFormat="1" applyFont="1" applyFill="1" applyBorder="1" applyAlignment="1" applyProtection="1">
      <alignment horizontal="right"/>
      <protection locked="0"/>
    </xf>
    <xf numFmtId="4" fontId="101" fillId="33" borderId="545" xfId="15" applyNumberFormat="1" applyFont="1" applyFill="1" applyBorder="1" applyAlignment="1" applyProtection="1">
      <alignment horizontal="right"/>
      <protection locked="0"/>
    </xf>
    <xf numFmtId="4" fontId="101" fillId="33" borderId="546" xfId="15" applyNumberFormat="1" applyFont="1" applyFill="1" applyBorder="1" applyAlignment="1" applyProtection="1">
      <alignment horizontal="right"/>
      <protection locked="0"/>
    </xf>
    <xf numFmtId="4" fontId="101" fillId="33" borderId="460" xfId="15" applyNumberFormat="1" applyFont="1" applyFill="1" applyBorder="1" applyAlignment="1" applyProtection="1">
      <alignment horizontal="right"/>
      <protection locked="0"/>
    </xf>
    <xf numFmtId="4" fontId="101" fillId="33" borderId="547" xfId="15" applyNumberFormat="1" applyFont="1" applyFill="1" applyBorder="1" applyAlignment="1" applyProtection="1">
      <alignment horizontal="right"/>
      <protection locked="0"/>
    </xf>
    <xf numFmtId="4" fontId="70" fillId="10" borderId="548" xfId="15" applyNumberFormat="1" applyFont="1" applyFill="1" applyBorder="1" applyAlignment="1" applyProtection="1">
      <alignment horizontal="right"/>
    </xf>
    <xf numFmtId="4" fontId="70" fillId="10" borderId="549" xfId="15" applyNumberFormat="1" applyFont="1" applyFill="1" applyBorder="1" applyAlignment="1" applyProtection="1">
      <alignment horizontal="right"/>
    </xf>
    <xf numFmtId="3" fontId="38" fillId="3" borderId="196" xfId="15" applyFont="1" applyFill="1" applyBorder="1" applyAlignment="1" applyProtection="1">
      <alignment horizontal="center"/>
    </xf>
    <xf numFmtId="3" fontId="70" fillId="10" borderId="196" xfId="15" applyFont="1" applyFill="1" applyBorder="1" applyAlignment="1" applyProtection="1">
      <alignment horizontal="left"/>
    </xf>
    <xf numFmtId="0" fontId="38" fillId="30" borderId="136" xfId="0" applyFont="1" applyFill="1" applyBorder="1" applyAlignment="1">
      <alignment horizontal="center"/>
    </xf>
    <xf numFmtId="0" fontId="38" fillId="30" borderId="0" xfId="0" applyFont="1" applyFill="1" applyAlignment="1">
      <alignment horizontal="center"/>
    </xf>
    <xf numFmtId="1" fontId="140" fillId="7" borderId="532" xfId="0" applyNumberFormat="1" applyFont="1" applyFill="1" applyBorder="1" applyAlignment="1">
      <alignment horizontal="center"/>
    </xf>
    <xf numFmtId="0" fontId="140" fillId="7" borderId="548" xfId="0" applyFont="1" applyFill="1" applyBorder="1" applyAlignment="1">
      <alignment horizontal="center"/>
    </xf>
    <xf numFmtId="0" fontId="140" fillId="7" borderId="549" xfId="0" applyFont="1" applyFill="1" applyBorder="1" applyAlignment="1">
      <alignment horizontal="center"/>
    </xf>
    <xf numFmtId="4" fontId="4" fillId="7" borderId="555" xfId="0" applyNumberFormat="1" applyFont="1" applyFill="1" applyBorder="1" applyAlignment="1">
      <alignment horizontal="right"/>
    </xf>
    <xf numFmtId="4" fontId="4" fillId="7" borderId="554" xfId="0" applyNumberFormat="1" applyFont="1" applyFill="1" applyBorder="1" applyAlignment="1">
      <alignment horizontal="right"/>
    </xf>
    <xf numFmtId="4" fontId="4" fillId="7" borderId="556" xfId="0" applyNumberFormat="1" applyFont="1" applyFill="1" applyBorder="1" applyAlignment="1">
      <alignment horizontal="right"/>
    </xf>
    <xf numFmtId="0" fontId="38" fillId="7" borderId="551" xfId="0" applyFont="1" applyFill="1" applyBorder="1" applyAlignment="1">
      <alignment horizontal="left"/>
    </xf>
    <xf numFmtId="0" fontId="38" fillId="7" borderId="548" xfId="0" applyFont="1" applyFill="1" applyBorder="1" applyAlignment="1">
      <alignment horizontal="left"/>
    </xf>
    <xf numFmtId="0" fontId="4" fillId="7" borderId="553" xfId="0" applyFont="1" applyFill="1" applyBorder="1" applyAlignment="1">
      <alignment horizontal="left"/>
    </xf>
    <xf numFmtId="0" fontId="4" fillId="7" borderId="554" xfId="0" applyFont="1" applyFill="1" applyBorder="1" applyAlignment="1">
      <alignment horizontal="left"/>
    </xf>
    <xf numFmtId="4" fontId="64" fillId="10" borderId="184" xfId="0" applyNumberFormat="1" applyFont="1" applyFill="1" applyBorder="1" applyAlignment="1">
      <alignment horizontal="right"/>
    </xf>
    <xf numFmtId="3" fontId="70" fillId="10" borderId="0" xfId="15" applyFont="1" applyFill="1" applyBorder="1" applyAlignment="1" applyProtection="1">
      <alignment horizontal="left"/>
    </xf>
    <xf numFmtId="3" fontId="70" fillId="10" borderId="50" xfId="15" applyFont="1" applyFill="1" applyBorder="1" applyAlignment="1" applyProtection="1">
      <alignment horizontal="left"/>
    </xf>
    <xf numFmtId="0" fontId="64" fillId="10" borderId="0" xfId="0" applyFont="1" applyFill="1" applyAlignment="1">
      <alignment horizontal="left"/>
    </xf>
    <xf numFmtId="4" fontId="70" fillId="10" borderId="281" xfId="15" applyNumberFormat="1" applyFont="1" applyFill="1" applyBorder="1" applyAlignment="1" applyProtection="1">
      <alignment horizontal="right"/>
    </xf>
    <xf numFmtId="4" fontId="70" fillId="10" borderId="252" xfId="15" applyNumberFormat="1" applyFont="1" applyFill="1" applyBorder="1" applyAlignment="1" applyProtection="1">
      <alignment horizontal="right"/>
    </xf>
    <xf numFmtId="0" fontId="4" fillId="7" borderId="512" xfId="0" applyFont="1" applyFill="1" applyBorder="1" applyAlignment="1">
      <alignment horizontal="left"/>
    </xf>
    <xf numFmtId="0" fontId="4" fillId="7" borderId="498" xfId="0" applyFont="1" applyFill="1" applyBorder="1" applyAlignment="1">
      <alignment horizontal="left"/>
    </xf>
    <xf numFmtId="0" fontId="4" fillId="7" borderId="501" xfId="0" applyFont="1" applyFill="1" applyBorder="1" applyAlignment="1">
      <alignment horizontal="left"/>
    </xf>
    <xf numFmtId="0" fontId="4" fillId="7" borderId="493" xfId="0" applyFont="1" applyFill="1" applyBorder="1" applyAlignment="1">
      <alignment horizontal="left"/>
    </xf>
    <xf numFmtId="0" fontId="4" fillId="33" borderId="543" xfId="0" applyFont="1" applyFill="1" applyBorder="1" applyAlignment="1" applyProtection="1">
      <alignment horizontal="left"/>
      <protection locked="0"/>
    </xf>
    <xf numFmtId="0" fontId="4" fillId="33" borderId="352" xfId="0" applyFont="1" applyFill="1" applyBorder="1" applyAlignment="1" applyProtection="1">
      <alignment horizontal="left"/>
      <protection locked="0"/>
    </xf>
    <xf numFmtId="1" fontId="140" fillId="7" borderId="550" xfId="0" applyNumberFormat="1" applyFont="1" applyFill="1" applyBorder="1" applyAlignment="1">
      <alignment horizontal="center"/>
    </xf>
    <xf numFmtId="0" fontId="140" fillId="7" borderId="552" xfId="0" applyFont="1" applyFill="1" applyBorder="1" applyAlignment="1">
      <alignment horizontal="center"/>
    </xf>
    <xf numFmtId="4" fontId="4" fillId="7" borderId="557" xfId="0" applyNumberFormat="1" applyFont="1" applyFill="1" applyBorder="1" applyAlignment="1">
      <alignment horizontal="right"/>
    </xf>
    <xf numFmtId="4" fontId="4" fillId="7" borderId="451" xfId="0" applyNumberFormat="1" applyFont="1" applyFill="1" applyBorder="1" applyAlignment="1">
      <alignment horizontal="right"/>
    </xf>
    <xf numFmtId="4" fontId="4" fillId="7" borderId="468" xfId="0" applyNumberFormat="1" applyFont="1" applyFill="1" applyBorder="1" applyAlignment="1">
      <alignment horizontal="right"/>
    </xf>
    <xf numFmtId="4" fontId="4" fillId="7" borderId="471" xfId="0" applyNumberFormat="1" applyFont="1" applyFill="1" applyBorder="1" applyAlignment="1">
      <alignment horizontal="right"/>
    </xf>
    <xf numFmtId="4" fontId="4" fillId="7" borderId="194" xfId="0" applyNumberFormat="1" applyFont="1" applyFill="1" applyBorder="1" applyAlignment="1">
      <alignment horizontal="right"/>
    </xf>
    <xf numFmtId="4" fontId="4" fillId="7" borderId="561" xfId="0" applyNumberFormat="1" applyFont="1" applyFill="1" applyBorder="1" applyAlignment="1">
      <alignment horizontal="right"/>
    </xf>
    <xf numFmtId="4" fontId="4" fillId="7" borderId="506" xfId="0" applyNumberFormat="1" applyFont="1" applyFill="1" applyBorder="1" applyAlignment="1">
      <alignment horizontal="right"/>
    </xf>
    <xf numFmtId="4" fontId="4" fillId="7" borderId="498" xfId="0" applyNumberFormat="1" applyFont="1" applyFill="1" applyBorder="1" applyAlignment="1">
      <alignment horizontal="right"/>
    </xf>
    <xf numFmtId="4" fontId="4" fillId="7" borderId="558" xfId="0" applyNumberFormat="1" applyFont="1" applyFill="1" applyBorder="1" applyAlignment="1">
      <alignment horizontal="right"/>
    </xf>
    <xf numFmtId="4" fontId="4" fillId="7" borderId="559" xfId="0" applyNumberFormat="1" applyFont="1" applyFill="1" applyBorder="1" applyAlignment="1">
      <alignment horizontal="right"/>
    </xf>
    <xf numFmtId="4" fontId="4" fillId="7" borderId="493" xfId="0" applyNumberFormat="1" applyFont="1" applyFill="1" applyBorder="1" applyAlignment="1">
      <alignment horizontal="right"/>
    </xf>
    <xf numFmtId="4" fontId="4" fillId="7" borderId="560" xfId="0" applyNumberFormat="1" applyFont="1" applyFill="1" applyBorder="1" applyAlignment="1">
      <alignment horizontal="right"/>
    </xf>
    <xf numFmtId="0" fontId="4" fillId="33" borderId="563" xfId="0" applyFont="1" applyFill="1" applyBorder="1" applyAlignment="1" applyProtection="1">
      <alignment horizontal="left"/>
      <protection locked="0"/>
    </xf>
    <xf numFmtId="0" fontId="4" fillId="33" borderId="564" xfId="0" applyFont="1" applyFill="1" applyBorder="1" applyAlignment="1" applyProtection="1">
      <alignment horizontal="left"/>
      <protection locked="0"/>
    </xf>
    <xf numFmtId="0" fontId="101" fillId="6" borderId="903" xfId="0" applyFont="1" applyFill="1" applyBorder="1" applyAlignment="1">
      <alignment horizontal="left" wrapText="1"/>
    </xf>
    <xf numFmtId="0" fontId="101" fillId="6" borderId="904" xfId="0" applyFont="1" applyFill="1" applyBorder="1" applyAlignment="1">
      <alignment horizontal="left" wrapText="1"/>
    </xf>
    <xf numFmtId="0" fontId="101" fillId="6" borderId="905" xfId="0" applyFont="1" applyFill="1" applyBorder="1" applyAlignment="1">
      <alignment horizontal="left" wrapText="1"/>
    </xf>
    <xf numFmtId="0" fontId="101" fillId="6" borderId="908" xfId="0" applyFont="1" applyFill="1" applyBorder="1" applyAlignment="1">
      <alignment horizontal="left" wrapText="1"/>
    </xf>
    <xf numFmtId="0" fontId="101" fillId="6" borderId="909" xfId="0" applyFont="1" applyFill="1" applyBorder="1" applyAlignment="1">
      <alignment horizontal="left" wrapText="1"/>
    </xf>
    <xf numFmtId="0" fontId="101" fillId="6" borderId="906" xfId="0" applyFont="1" applyFill="1" applyBorder="1" applyAlignment="1">
      <alignment horizontal="left" wrapText="1"/>
    </xf>
    <xf numFmtId="0" fontId="101" fillId="6" borderId="750" xfId="0" applyFont="1" applyFill="1" applyBorder="1" applyAlignment="1">
      <alignment horizontal="left" wrapText="1"/>
    </xf>
    <xf numFmtId="0" fontId="101" fillId="6" borderId="907" xfId="0" applyFont="1" applyFill="1" applyBorder="1" applyAlignment="1">
      <alignment horizontal="left" wrapText="1"/>
    </xf>
    <xf numFmtId="0" fontId="101" fillId="6" borderId="910" xfId="0" applyFont="1" applyFill="1" applyBorder="1" applyAlignment="1">
      <alignment horizontal="right"/>
    </xf>
    <xf numFmtId="0" fontId="101" fillId="6" borderId="911" xfId="0" applyFont="1" applyFill="1" applyBorder="1" applyAlignment="1">
      <alignment horizontal="right"/>
    </xf>
    <xf numFmtId="0" fontId="101" fillId="6" borderId="912" xfId="0" applyFont="1" applyFill="1" applyBorder="1" applyAlignment="1">
      <alignment horizontal="right"/>
    </xf>
    <xf numFmtId="0" fontId="140" fillId="0" borderId="908" xfId="0" applyFont="1" applyBorder="1" applyAlignment="1">
      <alignment horizontal="left" wrapText="1"/>
    </xf>
    <xf numFmtId="0" fontId="140" fillId="0" borderId="0" xfId="0" applyFont="1" applyAlignment="1">
      <alignment horizontal="left" wrapText="1"/>
    </xf>
    <xf numFmtId="3" fontId="38" fillId="3" borderId="531" xfId="15" applyFont="1" applyFill="1" applyBorder="1" applyAlignment="1" applyProtection="1">
      <alignment horizontal="left"/>
    </xf>
    <xf numFmtId="0" fontId="4" fillId="35" borderId="531" xfId="15" applyNumberFormat="1" applyFont="1" applyFill="1" applyBorder="1" applyAlignment="1" applyProtection="1">
      <alignment horizontal="left"/>
      <protection locked="0"/>
    </xf>
    <xf numFmtId="3" fontId="38" fillId="3" borderId="185" xfId="15" applyFont="1" applyFill="1" applyBorder="1" applyAlignment="1" applyProtection="1">
      <alignment horizontal="center" vertical="center"/>
    </xf>
    <xf numFmtId="3" fontId="38" fillId="3" borderId="184" xfId="15" applyFont="1" applyFill="1" applyBorder="1" applyAlignment="1" applyProtection="1">
      <alignment horizontal="center" vertical="center"/>
    </xf>
    <xf numFmtId="3" fontId="38" fillId="3" borderId="186" xfId="15" applyFont="1" applyFill="1" applyBorder="1" applyAlignment="1" applyProtection="1">
      <alignment horizontal="center" vertical="center"/>
    </xf>
    <xf numFmtId="3" fontId="38" fillId="3" borderId="136" xfId="15" applyFont="1" applyFill="1" applyBorder="1" applyAlignment="1" applyProtection="1">
      <alignment horizontal="center" vertical="center"/>
    </xf>
    <xf numFmtId="3" fontId="38" fillId="3" borderId="0" xfId="15" applyFont="1" applyFill="1" applyBorder="1" applyAlignment="1" applyProtection="1">
      <alignment horizontal="center" vertical="center"/>
    </xf>
    <xf numFmtId="3" fontId="38" fillId="3" borderId="50" xfId="15" applyFont="1" applyFill="1" applyBorder="1" applyAlignment="1" applyProtection="1">
      <alignment horizontal="center" vertical="center"/>
    </xf>
    <xf numFmtId="3" fontId="38" fillId="3" borderId="281" xfId="15" applyFont="1" applyFill="1" applyBorder="1" applyAlignment="1" applyProtection="1">
      <alignment horizontal="center" vertical="center"/>
    </xf>
    <xf numFmtId="3" fontId="38" fillId="3" borderId="196" xfId="15" applyFont="1" applyFill="1" applyBorder="1" applyAlignment="1" applyProtection="1">
      <alignment horizontal="center" vertical="center"/>
    </xf>
    <xf numFmtId="3" fontId="38" fillId="3" borderId="252" xfId="15" applyFont="1" applyFill="1" applyBorder="1" applyAlignment="1" applyProtection="1">
      <alignment horizontal="center" vertical="center"/>
    </xf>
    <xf numFmtId="3" fontId="38" fillId="3" borderId="532" xfId="15" applyFont="1" applyFill="1" applyBorder="1" applyAlignment="1" applyProtection="1">
      <alignment horizontal="center"/>
    </xf>
    <xf numFmtId="3" fontId="38" fillId="3" borderId="548" xfId="15" applyFont="1" applyFill="1" applyBorder="1" applyAlignment="1" applyProtection="1">
      <alignment horizontal="center"/>
    </xf>
    <xf numFmtId="3" fontId="38" fillId="3" borderId="549" xfId="15" applyFont="1" applyFill="1" applyBorder="1" applyAlignment="1" applyProtection="1">
      <alignment horizontal="center"/>
    </xf>
    <xf numFmtId="3" fontId="172" fillId="0" borderId="281" xfId="15" applyFont="1" applyFill="1" applyBorder="1" applyAlignment="1" applyProtection="1">
      <alignment horizontal="center"/>
    </xf>
    <xf numFmtId="3" fontId="172" fillId="0" borderId="196" xfId="15" applyFont="1" applyFill="1" applyBorder="1" applyAlignment="1" applyProtection="1">
      <alignment horizontal="center"/>
    </xf>
    <xf numFmtId="3" fontId="172" fillId="0" borderId="252" xfId="15" applyFont="1" applyFill="1" applyBorder="1" applyAlignment="1" applyProtection="1">
      <alignment horizontal="center"/>
    </xf>
    <xf numFmtId="0" fontId="64" fillId="10" borderId="184" xfId="0" applyFont="1" applyFill="1" applyBorder="1" applyAlignment="1">
      <alignment horizontal="center"/>
    </xf>
    <xf numFmtId="0" fontId="64" fillId="10" borderId="186" xfId="0" applyFont="1" applyFill="1" applyBorder="1" applyAlignment="1">
      <alignment horizontal="center"/>
    </xf>
    <xf numFmtId="0" fontId="70" fillId="10" borderId="0" xfId="0" applyFont="1" applyFill="1" applyAlignment="1">
      <alignment horizontal="center"/>
    </xf>
    <xf numFmtId="0" fontId="70" fillId="10" borderId="50" xfId="0" applyFont="1" applyFill="1" applyBorder="1" applyAlignment="1">
      <alignment horizontal="center"/>
    </xf>
    <xf numFmtId="3" fontId="4" fillId="33" borderId="349" xfId="15" applyFont="1" applyFill="1" applyBorder="1" applyAlignment="1" applyProtection="1">
      <alignment horizontal="left"/>
      <protection locked="0"/>
    </xf>
    <xf numFmtId="3" fontId="4" fillId="33" borderId="46" xfId="15" applyFont="1" applyFill="1" applyBorder="1" applyAlignment="1" applyProtection="1">
      <alignment horizontal="left"/>
      <protection locked="0"/>
    </xf>
    <xf numFmtId="3" fontId="4" fillId="33" borderId="543" xfId="15" applyFont="1" applyFill="1" applyBorder="1" applyAlignment="1" applyProtection="1">
      <alignment horizontal="left"/>
      <protection locked="0"/>
    </xf>
    <xf numFmtId="3" fontId="4" fillId="33" borderId="544" xfId="15" applyFont="1" applyFill="1" applyBorder="1" applyAlignment="1" applyProtection="1">
      <alignment horizontal="left"/>
      <protection locked="0"/>
    </xf>
    <xf numFmtId="3" fontId="70" fillId="10" borderId="532" xfId="15" applyFont="1" applyFill="1" applyBorder="1" applyAlignment="1" applyProtection="1">
      <alignment horizontal="center"/>
    </xf>
    <xf numFmtId="3" fontId="70" fillId="10" borderId="549" xfId="15" applyFont="1" applyFill="1" applyBorder="1" applyAlignment="1" applyProtection="1">
      <alignment horizontal="center"/>
    </xf>
    <xf numFmtId="3" fontId="38" fillId="11" borderId="185" xfId="15" applyFont="1" applyFill="1" applyBorder="1" applyAlignment="1" applyProtection="1">
      <alignment horizontal="center"/>
    </xf>
    <xf numFmtId="3" fontId="38" fillId="11" borderId="184" xfId="15" applyFont="1" applyFill="1" applyBorder="1" applyAlignment="1" applyProtection="1">
      <alignment horizontal="center"/>
    </xf>
    <xf numFmtId="3" fontId="38" fillId="11" borderId="186" xfId="15" applyFont="1" applyFill="1" applyBorder="1" applyAlignment="1" applyProtection="1">
      <alignment horizontal="center"/>
    </xf>
    <xf numFmtId="3" fontId="4" fillId="11" borderId="281" xfId="15" applyFont="1" applyFill="1" applyBorder="1" applyAlignment="1" applyProtection="1">
      <alignment horizontal="center"/>
    </xf>
    <xf numFmtId="3" fontId="4" fillId="11" borderId="196" xfId="15" applyFont="1" applyFill="1" applyBorder="1" applyAlignment="1" applyProtection="1">
      <alignment horizontal="center"/>
    </xf>
    <xf numFmtId="3" fontId="4" fillId="11" borderId="252" xfId="15" applyFont="1" applyFill="1" applyBorder="1" applyAlignment="1" applyProtection="1">
      <alignment horizontal="center"/>
    </xf>
    <xf numFmtId="3" fontId="101" fillId="33" borderId="445" xfId="15" applyFont="1" applyFill="1" applyBorder="1" applyAlignment="1" applyProtection="1">
      <alignment horizontal="center"/>
      <protection locked="0"/>
    </xf>
    <xf numFmtId="3" fontId="101" fillId="33" borderId="447" xfId="15" applyFont="1" applyFill="1" applyBorder="1" applyAlignment="1" applyProtection="1">
      <alignment horizontal="center"/>
      <protection locked="0"/>
    </xf>
    <xf numFmtId="3" fontId="101" fillId="33" borderId="545" xfId="15" applyFont="1" applyFill="1" applyBorder="1" applyAlignment="1" applyProtection="1">
      <alignment horizontal="center"/>
      <protection locked="0"/>
    </xf>
    <xf numFmtId="3" fontId="101" fillId="33" borderId="546" xfId="15" applyFont="1" applyFill="1" applyBorder="1" applyAlignment="1" applyProtection="1">
      <alignment horizontal="center"/>
      <protection locked="0"/>
    </xf>
    <xf numFmtId="3" fontId="101" fillId="33" borderId="460" xfId="15" applyFont="1" applyFill="1" applyBorder="1" applyAlignment="1" applyProtection="1">
      <alignment horizontal="center"/>
      <protection locked="0"/>
    </xf>
    <xf numFmtId="3" fontId="101" fillId="33" borderId="547" xfId="15" applyFont="1" applyFill="1" applyBorder="1" applyAlignment="1" applyProtection="1">
      <alignment horizontal="center"/>
      <protection locked="0"/>
    </xf>
    <xf numFmtId="0" fontId="4" fillId="27" borderId="544" xfId="0" applyFont="1" applyFill="1" applyBorder="1" applyAlignment="1">
      <alignment horizontal="left"/>
    </xf>
    <xf numFmtId="0" fontId="4" fillId="27" borderId="351" xfId="0" applyFont="1" applyFill="1" applyBorder="1" applyAlignment="1">
      <alignment horizontal="left"/>
    </xf>
    <xf numFmtId="0" fontId="4" fillId="7" borderId="608" xfId="0" applyFont="1" applyFill="1" applyBorder="1" applyAlignment="1">
      <alignment horizontal="left"/>
    </xf>
    <xf numFmtId="0" fontId="4" fillId="7" borderId="609" xfId="0" applyFont="1" applyFill="1" applyBorder="1" applyAlignment="1">
      <alignment horizontal="left"/>
    </xf>
    <xf numFmtId="0" fontId="4" fillId="0" borderId="458" xfId="0" applyFont="1" applyBorder="1" applyAlignment="1">
      <alignment horizontal="center"/>
    </xf>
    <xf numFmtId="0" fontId="4" fillId="0" borderId="0" xfId="0" applyFont="1" applyAlignment="1">
      <alignment horizontal="center"/>
    </xf>
    <xf numFmtId="3" fontId="134" fillId="27" borderId="407" xfId="0" applyNumberFormat="1" applyFont="1" applyFill="1" applyBorder="1" applyAlignment="1">
      <alignment horizontal="center"/>
    </xf>
    <xf numFmtId="3" fontId="134" fillId="27" borderId="184" xfId="0" applyNumberFormat="1" applyFont="1" applyFill="1" applyBorder="1" applyAlignment="1">
      <alignment horizontal="center"/>
    </xf>
    <xf numFmtId="3" fontId="134" fillId="27" borderId="186" xfId="0" applyNumberFormat="1" applyFont="1" applyFill="1" applyBorder="1" applyAlignment="1">
      <alignment horizontal="center"/>
    </xf>
    <xf numFmtId="3" fontId="134" fillId="27" borderId="617" xfId="0" applyNumberFormat="1" applyFont="1" applyFill="1" applyBorder="1" applyAlignment="1">
      <alignment horizontal="center"/>
    </xf>
    <xf numFmtId="3" fontId="134" fillId="27" borderId="0" xfId="0" applyNumberFormat="1" applyFont="1" applyFill="1" applyAlignment="1">
      <alignment horizontal="center"/>
    </xf>
    <xf numFmtId="3" fontId="134" fillId="27" borderId="50" xfId="0" applyNumberFormat="1" applyFont="1" applyFill="1" applyBorder="1" applyAlignment="1">
      <alignment horizontal="center"/>
    </xf>
    <xf numFmtId="3" fontId="64" fillId="18" borderId="209" xfId="0" applyNumberFormat="1" applyFont="1" applyFill="1" applyBorder="1" applyAlignment="1">
      <alignment horizontal="center"/>
    </xf>
    <xf numFmtId="3" fontId="64" fillId="18" borderId="196" xfId="0" applyNumberFormat="1" applyFont="1" applyFill="1" applyBorder="1" applyAlignment="1">
      <alignment horizontal="center"/>
    </xf>
    <xf numFmtId="3" fontId="64" fillId="18" borderId="252" xfId="0" applyNumberFormat="1" applyFont="1" applyFill="1" applyBorder="1" applyAlignment="1">
      <alignment horizontal="center"/>
    </xf>
    <xf numFmtId="3" fontId="134" fillId="27" borderId="373" xfId="0" applyNumberFormat="1" applyFont="1" applyFill="1" applyBorder="1" applyAlignment="1">
      <alignment horizontal="center"/>
    </xf>
    <xf numFmtId="3" fontId="134" fillId="27" borderId="209" xfId="0" applyNumberFormat="1" applyFont="1" applyFill="1" applyBorder="1" applyAlignment="1">
      <alignment horizontal="center"/>
    </xf>
    <xf numFmtId="3" fontId="134" fillId="27" borderId="196" xfId="0" applyNumberFormat="1" applyFont="1" applyFill="1" applyBorder="1" applyAlignment="1">
      <alignment horizontal="center"/>
    </xf>
    <xf numFmtId="3" fontId="134" fillId="27" borderId="252" xfId="0" applyNumberFormat="1" applyFont="1" applyFill="1" applyBorder="1" applyAlignment="1">
      <alignment horizontal="center"/>
    </xf>
    <xf numFmtId="3" fontId="64" fillId="18" borderId="218" xfId="0" applyNumberFormat="1" applyFont="1" applyFill="1" applyBorder="1" applyAlignment="1">
      <alignment horizontal="center"/>
    </xf>
    <xf numFmtId="0" fontId="4" fillId="7" borderId="544" xfId="0" applyFont="1" applyFill="1" applyBorder="1" applyAlignment="1">
      <alignment horizontal="left"/>
    </xf>
    <xf numFmtId="0" fontId="4" fillId="7" borderId="605" xfId="0" applyFont="1" applyFill="1" applyBorder="1" applyAlignment="1">
      <alignment horizontal="left"/>
    </xf>
    <xf numFmtId="0" fontId="38" fillId="7" borderId="448" xfId="0" applyFont="1" applyFill="1" applyBorder="1" applyAlignment="1">
      <alignment horizontal="left"/>
    </xf>
    <xf numFmtId="0" fontId="38" fillId="7" borderId="596" xfId="0" applyFont="1" applyFill="1" applyBorder="1" applyAlignment="1">
      <alignment horizontal="left"/>
    </xf>
    <xf numFmtId="0" fontId="4" fillId="33" borderId="465" xfId="0" applyFont="1" applyFill="1" applyBorder="1" applyAlignment="1" applyProtection="1">
      <alignment horizontal="left" wrapText="1"/>
      <protection locked="0"/>
    </xf>
    <xf numFmtId="0" fontId="4" fillId="33" borderId="352" xfId="0" applyFont="1" applyFill="1" applyBorder="1" applyAlignment="1" applyProtection="1">
      <alignment horizontal="left" wrapText="1"/>
      <protection locked="0"/>
    </xf>
    <xf numFmtId="0" fontId="4" fillId="33" borderId="605" xfId="0" applyFont="1" applyFill="1" applyBorder="1" applyAlignment="1" applyProtection="1">
      <alignment horizontal="left" wrapText="1"/>
      <protection locked="0"/>
    </xf>
    <xf numFmtId="3" fontId="140" fillId="27" borderId="185" xfId="0" applyNumberFormat="1" applyFont="1" applyFill="1" applyBorder="1" applyAlignment="1">
      <alignment horizontal="center"/>
    </xf>
    <xf numFmtId="3" fontId="140" fillId="27" borderId="184" xfId="0" applyNumberFormat="1" applyFont="1" applyFill="1" applyBorder="1" applyAlignment="1">
      <alignment horizontal="center"/>
    </xf>
    <xf numFmtId="3" fontId="140" fillId="27" borderId="186" xfId="0" applyNumberFormat="1" applyFont="1" applyFill="1" applyBorder="1" applyAlignment="1">
      <alignment horizontal="center"/>
    </xf>
    <xf numFmtId="3" fontId="140" fillId="75" borderId="545" xfId="0" applyNumberFormat="1" applyFont="1" applyFill="1" applyBorder="1" applyAlignment="1" applyProtection="1">
      <alignment horizontal="center"/>
      <protection locked="0"/>
    </xf>
    <xf numFmtId="3" fontId="140" fillId="75" borderId="568" xfId="0" applyNumberFormat="1" applyFont="1" applyFill="1" applyBorder="1" applyAlignment="1" applyProtection="1">
      <alignment horizontal="center"/>
      <protection locked="0"/>
    </xf>
    <xf numFmtId="3" fontId="140" fillId="75" borderId="546" xfId="0" applyNumberFormat="1" applyFont="1" applyFill="1" applyBorder="1" applyAlignment="1" applyProtection="1">
      <alignment horizontal="center"/>
      <protection locked="0"/>
    </xf>
    <xf numFmtId="3" fontId="140" fillId="75" borderId="460" xfId="0" applyNumberFormat="1" applyFont="1" applyFill="1" applyBorder="1" applyAlignment="1" applyProtection="1">
      <alignment horizontal="center"/>
      <protection locked="0"/>
    </xf>
    <xf numFmtId="3" fontId="140" fillId="75" borderId="461" xfId="0" applyNumberFormat="1" applyFont="1" applyFill="1" applyBorder="1" applyAlignment="1" applyProtection="1">
      <alignment horizontal="center"/>
      <protection locked="0"/>
    </xf>
    <xf numFmtId="3" fontId="140" fillId="75" borderId="547" xfId="0" applyNumberFormat="1" applyFont="1" applyFill="1" applyBorder="1" applyAlignment="1" applyProtection="1">
      <alignment horizontal="center"/>
      <protection locked="0"/>
    </xf>
    <xf numFmtId="3" fontId="70" fillId="9" borderId="583" xfId="0" applyNumberFormat="1" applyFont="1" applyFill="1" applyBorder="1" applyAlignment="1">
      <alignment horizontal="center"/>
    </xf>
    <xf numFmtId="3" fontId="64" fillId="18" borderId="50" xfId="0" applyNumberFormat="1" applyFont="1" applyFill="1" applyBorder="1" applyAlignment="1">
      <alignment horizontal="center"/>
    </xf>
    <xf numFmtId="3" fontId="64" fillId="18" borderId="0" xfId="0" applyNumberFormat="1" applyFont="1" applyFill="1" applyAlignment="1">
      <alignment horizontal="center"/>
    </xf>
    <xf numFmtId="3" fontId="70" fillId="9" borderId="548" xfId="0" applyNumberFormat="1" applyFont="1" applyFill="1" applyBorder="1" applyAlignment="1">
      <alignment horizontal="center"/>
    </xf>
    <xf numFmtId="0" fontId="4" fillId="33" borderId="544" xfId="0" applyFont="1" applyFill="1" applyBorder="1" applyAlignment="1" applyProtection="1">
      <alignment horizontal="left"/>
      <protection locked="0"/>
    </xf>
    <xf numFmtId="0" fontId="4" fillId="33" borderId="593" xfId="0" applyFont="1" applyFill="1" applyBorder="1" applyAlignment="1" applyProtection="1">
      <alignment horizontal="left"/>
      <protection locked="0"/>
    </xf>
    <xf numFmtId="3" fontId="64" fillId="10" borderId="551" xfId="0" applyNumberFormat="1" applyFont="1" applyFill="1" applyBorder="1" applyAlignment="1">
      <alignment horizontal="center"/>
    </xf>
    <xf numFmtId="3" fontId="64" fillId="10" borderId="394" xfId="0" applyNumberFormat="1" applyFont="1" applyFill="1" applyBorder="1" applyAlignment="1">
      <alignment horizontal="center"/>
    </xf>
    <xf numFmtId="3" fontId="64" fillId="10" borderId="569" xfId="0" applyNumberFormat="1" applyFont="1" applyFill="1" applyBorder="1" applyAlignment="1">
      <alignment horizontal="center"/>
    </xf>
    <xf numFmtId="3" fontId="140" fillId="27" borderId="601" xfId="0" applyNumberFormat="1" applyFont="1" applyFill="1" applyBorder="1" applyAlignment="1">
      <alignment horizontal="center"/>
    </xf>
    <xf numFmtId="3" fontId="140" fillId="27" borderId="602" xfId="0" applyNumberFormat="1" applyFont="1" applyFill="1" applyBorder="1" applyAlignment="1">
      <alignment horizontal="center"/>
    </xf>
    <xf numFmtId="3" fontId="140" fillId="27" borderId="603" xfId="0" applyNumberFormat="1" applyFont="1" applyFill="1" applyBorder="1" applyAlignment="1">
      <alignment horizontal="center"/>
    </xf>
    <xf numFmtId="0" fontId="4" fillId="58" borderId="598" xfId="0" applyFont="1" applyFill="1" applyBorder="1" applyAlignment="1" applyProtection="1">
      <alignment horizontal="left"/>
      <protection locked="0"/>
    </xf>
    <xf numFmtId="0" fontId="4" fillId="58" borderId="599" xfId="0" applyFont="1" applyFill="1" applyBorder="1" applyAlignment="1" applyProtection="1">
      <alignment horizontal="left"/>
      <protection locked="0"/>
    </xf>
    <xf numFmtId="3" fontId="4" fillId="58" borderId="577" xfId="0" applyNumberFormat="1" applyFont="1" applyFill="1" applyBorder="1" applyAlignment="1" applyProtection="1">
      <alignment horizontal="left"/>
      <protection locked="0"/>
    </xf>
    <xf numFmtId="3" fontId="4" fillId="58" borderId="595" xfId="0" applyNumberFormat="1" applyFont="1" applyFill="1" applyBorder="1" applyAlignment="1" applyProtection="1">
      <alignment horizontal="left"/>
      <protection locked="0"/>
    </xf>
    <xf numFmtId="0" fontId="4" fillId="6" borderId="458" xfId="0" applyFont="1" applyFill="1" applyBorder="1" applyAlignment="1">
      <alignment horizontal="center"/>
    </xf>
    <xf numFmtId="0" fontId="4" fillId="6" borderId="0" xfId="0" applyFont="1" applyFill="1" applyAlignment="1">
      <alignment horizontal="center"/>
    </xf>
    <xf numFmtId="3" fontId="4" fillId="58" borderId="586" xfId="0" applyNumberFormat="1" applyFont="1" applyFill="1" applyBorder="1" applyAlignment="1" applyProtection="1">
      <alignment horizontal="left"/>
      <protection locked="0"/>
    </xf>
    <xf numFmtId="0" fontId="4" fillId="58" borderId="564" xfId="0" applyFont="1" applyFill="1" applyBorder="1" applyAlignment="1" applyProtection="1">
      <alignment horizontal="left"/>
      <protection locked="0"/>
    </xf>
    <xf numFmtId="0" fontId="4" fillId="58" borderId="594" xfId="0" applyFont="1" applyFill="1" applyBorder="1" applyAlignment="1" applyProtection="1">
      <alignment horizontal="left"/>
      <protection locked="0"/>
    </xf>
    <xf numFmtId="0" fontId="4" fillId="33" borderId="498" xfId="0" applyFont="1" applyFill="1" applyBorder="1" applyAlignment="1" applyProtection="1">
      <alignment horizontal="left"/>
      <protection locked="0"/>
    </xf>
    <xf numFmtId="0" fontId="4" fillId="33" borderId="595" xfId="0" applyFont="1" applyFill="1" applyBorder="1" applyAlignment="1" applyProtection="1">
      <alignment horizontal="left"/>
      <protection locked="0"/>
    </xf>
    <xf numFmtId="3" fontId="22" fillId="0" borderId="185" xfId="15" applyFont="1" applyFill="1" applyBorder="1" applyAlignment="1" applyProtection="1">
      <alignment horizontal="center" vertical="center"/>
    </xf>
    <xf numFmtId="3" fontId="22" fillId="0" borderId="184" xfId="15" applyFont="1" applyFill="1" applyBorder="1" applyAlignment="1" applyProtection="1">
      <alignment horizontal="center" vertical="center"/>
    </xf>
    <xf numFmtId="3" fontId="22" fillId="0" borderId="186" xfId="15" applyFont="1" applyFill="1" applyBorder="1" applyAlignment="1" applyProtection="1">
      <alignment horizontal="center" vertical="center"/>
    </xf>
    <xf numFmtId="3" fontId="172" fillId="0" borderId="532" xfId="15" applyFont="1" applyFill="1" applyBorder="1" applyAlignment="1" applyProtection="1">
      <alignment horizontal="center" vertical="center"/>
    </xf>
    <xf numFmtId="3" fontId="172" fillId="0" borderId="548" xfId="15" applyFont="1" applyFill="1" applyBorder="1" applyAlignment="1" applyProtection="1">
      <alignment horizontal="center" vertical="center"/>
    </xf>
    <xf numFmtId="3" fontId="172" fillId="0" borderId="549" xfId="15" applyFont="1" applyFill="1" applyBorder="1" applyAlignment="1" applyProtection="1">
      <alignment horizontal="center" vertical="center"/>
    </xf>
    <xf numFmtId="3" fontId="38" fillId="0" borderId="185" xfId="15" applyFont="1" applyFill="1" applyBorder="1" applyAlignment="1" applyProtection="1">
      <alignment horizontal="center" vertical="center"/>
    </xf>
    <xf numFmtId="3" fontId="38" fillId="0" borderId="184" xfId="15" applyFont="1" applyFill="1" applyBorder="1" applyAlignment="1" applyProtection="1">
      <alignment horizontal="center" vertical="center"/>
    </xf>
    <xf numFmtId="3" fontId="38" fillId="0" borderId="186" xfId="15" applyFont="1" applyFill="1" applyBorder="1" applyAlignment="1" applyProtection="1">
      <alignment horizontal="center" vertical="center"/>
    </xf>
    <xf numFmtId="3" fontId="4" fillId="0" borderId="445" xfId="15" applyFont="1" applyFill="1" applyBorder="1" applyAlignment="1" applyProtection="1">
      <alignment horizontal="center" vertical="center"/>
    </xf>
    <xf numFmtId="3" fontId="4" fillId="0" borderId="441" xfId="15" applyFont="1" applyFill="1" applyBorder="1" applyAlignment="1" applyProtection="1">
      <alignment horizontal="center" vertical="center"/>
    </xf>
    <xf numFmtId="3" fontId="4" fillId="0" borderId="441" xfId="15" applyFont="1" applyFill="1" applyBorder="1" applyAlignment="1" applyProtection="1">
      <alignment horizontal="left" vertical="center" wrapText="1"/>
    </xf>
    <xf numFmtId="3" fontId="4" fillId="0" borderId="460" xfId="15" applyFont="1" applyFill="1" applyBorder="1" applyAlignment="1" applyProtection="1">
      <alignment horizontal="center" vertical="center"/>
    </xf>
    <xf numFmtId="3" fontId="4" fillId="0" borderId="461" xfId="15" applyFont="1" applyFill="1" applyBorder="1" applyAlignment="1" applyProtection="1">
      <alignment horizontal="center" vertical="center"/>
    </xf>
    <xf numFmtId="3" fontId="4" fillId="0" borderId="461" xfId="15" applyFont="1" applyFill="1" applyBorder="1" applyAlignment="1" applyProtection="1">
      <alignment horizontal="left" vertical="center" wrapText="1"/>
    </xf>
    <xf numFmtId="3" fontId="4" fillId="11" borderId="0" xfId="15" applyFont="1" applyFill="1" applyBorder="1" applyAlignment="1" applyProtection="1">
      <alignment horizontal="center"/>
    </xf>
    <xf numFmtId="3" fontId="4" fillId="11" borderId="50" xfId="15" applyFont="1" applyFill="1" applyBorder="1" applyAlignment="1" applyProtection="1">
      <alignment horizontal="center"/>
    </xf>
    <xf numFmtId="3" fontId="70" fillId="10" borderId="281" xfId="15" applyFont="1" applyFill="1" applyBorder="1" applyAlignment="1" applyProtection="1">
      <alignment horizontal="center"/>
    </xf>
    <xf numFmtId="3" fontId="70" fillId="10" borderId="252" xfId="15" applyFont="1" applyFill="1" applyBorder="1" applyAlignment="1" applyProtection="1">
      <alignment horizontal="center"/>
    </xf>
    <xf numFmtId="3" fontId="70" fillId="10" borderId="532" xfId="15" applyFont="1" applyFill="1" applyBorder="1" applyAlignment="1" applyProtection="1">
      <alignment horizontal="left"/>
    </xf>
    <xf numFmtId="3" fontId="70" fillId="10" borderId="548" xfId="15" applyFont="1" applyFill="1" applyBorder="1" applyAlignment="1" applyProtection="1">
      <alignment horizontal="left"/>
    </xf>
    <xf numFmtId="3" fontId="70" fillId="10" borderId="569" xfId="15" applyFont="1" applyFill="1" applyBorder="1" applyAlignment="1" applyProtection="1">
      <alignment horizontal="left"/>
    </xf>
    <xf numFmtId="0" fontId="38" fillId="56" borderId="532" xfId="0" applyFont="1" applyFill="1" applyBorder="1" applyAlignment="1">
      <alignment horizontal="center"/>
    </xf>
    <xf numFmtId="0" fontId="38" fillId="56" borderId="548" xfId="0" applyFont="1" applyFill="1" applyBorder="1" applyAlignment="1">
      <alignment horizontal="center"/>
    </xf>
    <xf numFmtId="0" fontId="38" fillId="56" borderId="549" xfId="0" applyFont="1" applyFill="1" applyBorder="1" applyAlignment="1">
      <alignment horizontal="center"/>
    </xf>
    <xf numFmtId="1" fontId="43" fillId="16" borderId="441" xfId="0" applyNumberFormat="1" applyFont="1" applyFill="1" applyBorder="1" applyAlignment="1">
      <alignment horizontal="center"/>
    </xf>
    <xf numFmtId="1" fontId="43" fillId="16" borderId="571" xfId="0" applyNumberFormat="1" applyFont="1" applyFill="1" applyBorder="1" applyAlignment="1">
      <alignment horizontal="center"/>
    </xf>
    <xf numFmtId="0" fontId="4" fillId="7" borderId="566" xfId="0" applyFont="1" applyFill="1" applyBorder="1" applyAlignment="1">
      <alignment horizontal="left"/>
    </xf>
    <xf numFmtId="0" fontId="38" fillId="27" borderId="46" xfId="0" applyFont="1" applyFill="1" applyBorder="1" applyAlignment="1">
      <alignment horizontal="left"/>
    </xf>
    <xf numFmtId="0" fontId="38" fillId="27" borderId="81" xfId="0" applyFont="1" applyFill="1" applyBorder="1" applyAlignment="1">
      <alignment horizontal="left"/>
    </xf>
    <xf numFmtId="0" fontId="64" fillId="10" borderId="19" xfId="0" applyFont="1" applyFill="1" applyBorder="1" applyAlignment="1">
      <alignment horizontal="left" wrapText="1"/>
    </xf>
    <xf numFmtId="0" fontId="64" fillId="10" borderId="0" xfId="0" applyFont="1" applyFill="1" applyAlignment="1">
      <alignment horizontal="left" wrapText="1"/>
    </xf>
    <xf numFmtId="0" fontId="4" fillId="58" borderId="554" xfId="0" applyFont="1" applyFill="1" applyBorder="1" applyAlignment="1" applyProtection="1">
      <alignment horizontal="left"/>
      <protection locked="0"/>
    </xf>
    <xf numFmtId="0" fontId="4" fillId="58" borderId="575" xfId="0" applyFont="1" applyFill="1" applyBorder="1" applyAlignment="1" applyProtection="1">
      <alignment horizontal="left"/>
      <protection locked="0"/>
    </xf>
    <xf numFmtId="3" fontId="70" fillId="10" borderId="218" xfId="15" applyFont="1" applyFill="1" applyBorder="1" applyAlignment="1" applyProtection="1">
      <alignment horizontal="center"/>
    </xf>
    <xf numFmtId="3" fontId="70" fillId="10" borderId="196" xfId="15" applyFont="1" applyFill="1" applyBorder="1" applyAlignment="1" applyProtection="1">
      <alignment horizontal="center"/>
    </xf>
    <xf numFmtId="0" fontId="4" fillId="27" borderId="566" xfId="0" applyFont="1" applyFill="1" applyBorder="1" applyAlignment="1">
      <alignment horizontal="left"/>
    </xf>
    <xf numFmtId="0" fontId="70" fillId="10" borderId="738" xfId="0" applyFont="1" applyFill="1" applyBorder="1" applyAlignment="1">
      <alignment horizontal="left"/>
    </xf>
    <xf numFmtId="0" fontId="4" fillId="0" borderId="738" xfId="0" applyFont="1" applyBorder="1" applyAlignment="1">
      <alignment horizontal="left"/>
    </xf>
    <xf numFmtId="0" fontId="101" fillId="7" borderId="738" xfId="0" applyFont="1" applyFill="1" applyBorder="1" applyAlignment="1">
      <alignment horizontal="left"/>
    </xf>
    <xf numFmtId="0" fontId="4" fillId="0" borderId="738" xfId="0" applyFont="1" applyBorder="1" applyAlignment="1">
      <alignment horizontal="left" wrapText="1"/>
    </xf>
    <xf numFmtId="0" fontId="64" fillId="10" borderId="573" xfId="0" applyFont="1" applyFill="1" applyBorder="1" applyAlignment="1">
      <alignment horizontal="left"/>
    </xf>
    <xf numFmtId="3" fontId="4" fillId="11" borderId="738" xfId="0" applyNumberFormat="1" applyFont="1" applyFill="1" applyBorder="1" applyAlignment="1">
      <alignment horizontal="left"/>
    </xf>
    <xf numFmtId="3" fontId="4" fillId="6" borderId="738" xfId="0" applyNumberFormat="1" applyFont="1" applyFill="1" applyBorder="1" applyAlignment="1">
      <alignment horizontal="left"/>
    </xf>
    <xf numFmtId="0" fontId="4" fillId="6" borderId="738" xfId="0" applyFont="1" applyFill="1" applyBorder="1" applyAlignment="1">
      <alignment horizontal="left"/>
    </xf>
    <xf numFmtId="0" fontId="38" fillId="7" borderId="568" xfId="0" applyFont="1" applyFill="1" applyBorder="1" applyAlignment="1">
      <alignment horizontal="left"/>
    </xf>
    <xf numFmtId="0" fontId="4" fillId="58" borderId="577" xfId="0" applyFont="1" applyFill="1" applyBorder="1" applyAlignment="1" applyProtection="1">
      <alignment horizontal="left"/>
      <protection locked="0"/>
    </xf>
    <xf numFmtId="0" fontId="4" fillId="58" borderId="578" xfId="0" applyFont="1" applyFill="1" applyBorder="1" applyAlignment="1" applyProtection="1">
      <alignment horizontal="left"/>
      <protection locked="0"/>
    </xf>
    <xf numFmtId="0" fontId="38" fillId="7" borderId="352" xfId="0" applyFont="1" applyFill="1" applyBorder="1" applyAlignment="1">
      <alignment horizontal="left"/>
    </xf>
    <xf numFmtId="0" fontId="38" fillId="7" borderId="588" xfId="0" applyFont="1" applyFill="1" applyBorder="1" applyAlignment="1">
      <alignment horizontal="left"/>
    </xf>
    <xf numFmtId="0" fontId="64" fillId="10" borderId="352" xfId="0" applyFont="1" applyFill="1" applyBorder="1" applyAlignment="1">
      <alignment horizontal="left" wrapText="1"/>
    </xf>
    <xf numFmtId="0" fontId="64" fillId="10" borderId="605" xfId="0" applyFont="1" applyFill="1" applyBorder="1" applyAlignment="1">
      <alignment horizontal="left" wrapText="1"/>
    </xf>
    <xf numFmtId="0" fontId="4" fillId="33" borderId="423" xfId="0" applyFont="1" applyFill="1" applyBorder="1" applyAlignment="1" applyProtection="1">
      <alignment horizontal="left"/>
      <protection locked="0"/>
    </xf>
    <xf numFmtId="0" fontId="4" fillId="33" borderId="424" xfId="0" applyFont="1" applyFill="1" applyBorder="1" applyAlignment="1" applyProtection="1">
      <alignment horizontal="left"/>
      <protection locked="0"/>
    </xf>
    <xf numFmtId="0" fontId="4" fillId="58" borderId="110" xfId="0" applyFont="1" applyFill="1" applyBorder="1" applyAlignment="1" applyProtection="1">
      <alignment horizontal="left"/>
      <protection locked="0"/>
    </xf>
    <xf numFmtId="0" fontId="4" fillId="58" borderId="89" xfId="0" applyFont="1" applyFill="1" applyBorder="1" applyAlignment="1" applyProtection="1">
      <alignment horizontal="left"/>
      <protection locked="0"/>
    </xf>
    <xf numFmtId="0" fontId="4" fillId="58" borderId="352" xfId="0" applyFont="1" applyFill="1" applyBorder="1" applyAlignment="1" applyProtection="1">
      <alignment horizontal="left"/>
      <protection locked="0"/>
    </xf>
    <xf numFmtId="0" fontId="4" fillId="58" borderId="351" xfId="0" applyFont="1" applyFill="1" applyBorder="1" applyAlignment="1" applyProtection="1">
      <alignment horizontal="left"/>
      <protection locked="0"/>
    </xf>
    <xf numFmtId="0" fontId="38" fillId="7" borderId="351" xfId="0" applyFont="1" applyFill="1" applyBorder="1" applyAlignment="1">
      <alignment horizontal="left"/>
    </xf>
    <xf numFmtId="0" fontId="38" fillId="7" borderId="583" xfId="0" applyFont="1" applyFill="1" applyBorder="1" applyAlignment="1">
      <alignment horizontal="left"/>
    </xf>
    <xf numFmtId="0" fontId="38" fillId="7" borderId="584" xfId="0" applyFont="1" applyFill="1" applyBorder="1" applyAlignment="1">
      <alignment horizontal="left"/>
    </xf>
    <xf numFmtId="0" fontId="3" fillId="0" borderId="738" xfId="0" applyFont="1" applyBorder="1" applyAlignment="1">
      <alignment horizontal="left" wrapText="1"/>
    </xf>
    <xf numFmtId="0" fontId="4" fillId="33" borderId="738" xfId="0" applyFont="1" applyFill="1" applyBorder="1" applyAlignment="1" applyProtection="1">
      <alignment horizontal="right"/>
      <protection locked="0"/>
    </xf>
    <xf numFmtId="3" fontId="4" fillId="0" borderId="738" xfId="0" applyNumberFormat="1" applyFont="1" applyBorder="1" applyAlignment="1">
      <alignment horizontal="left"/>
    </xf>
    <xf numFmtId="3" fontId="64" fillId="74" borderId="196" xfId="0" applyNumberFormat="1" applyFont="1" applyFill="1" applyBorder="1" applyAlignment="1">
      <alignment horizontal="center"/>
    </xf>
    <xf numFmtId="0" fontId="64" fillId="74" borderId="196" xfId="0" applyFont="1" applyFill="1" applyBorder="1" applyAlignment="1">
      <alignment horizontal="center"/>
    </xf>
    <xf numFmtId="0" fontId="64" fillId="74" borderId="200" xfId="0" applyFont="1" applyFill="1" applyBorder="1" applyAlignment="1">
      <alignment horizontal="center"/>
    </xf>
    <xf numFmtId="3" fontId="134" fillId="15" borderId="543" xfId="0" applyNumberFormat="1" applyFont="1" applyFill="1" applyBorder="1" applyAlignment="1">
      <alignment horizontal="center"/>
    </xf>
    <xf numFmtId="3" fontId="134" fillId="15" borderId="544" xfId="0" applyNumberFormat="1" applyFont="1" applyFill="1" applyBorder="1" applyAlignment="1">
      <alignment horizontal="center"/>
    </xf>
    <xf numFmtId="3" fontId="134" fillId="15" borderId="567" xfId="0" applyNumberFormat="1" applyFont="1" applyFill="1" applyBorder="1" applyAlignment="1">
      <alignment horizontal="center"/>
    </xf>
    <xf numFmtId="0" fontId="168" fillId="11" borderId="574" xfId="0" applyFont="1" applyFill="1" applyBorder="1" applyAlignment="1">
      <alignment horizontal="center" wrapText="1"/>
    </xf>
    <xf numFmtId="0" fontId="168" fillId="11" borderId="448" xfId="0" applyFont="1" applyFill="1" applyBorder="1" applyAlignment="1">
      <alignment horizontal="center" wrapText="1"/>
    </xf>
    <xf numFmtId="0" fontId="168" fillId="11" borderId="449" xfId="0" applyFont="1" applyFill="1" applyBorder="1" applyAlignment="1">
      <alignment horizontal="center" wrapText="1"/>
    </xf>
    <xf numFmtId="3" fontId="140" fillId="27" borderId="194" xfId="0" applyNumberFormat="1" applyFont="1" applyFill="1" applyBorder="1" applyAlignment="1">
      <alignment horizontal="center"/>
    </xf>
    <xf numFmtId="3" fontId="140" fillId="27" borderId="423" xfId="0" applyNumberFormat="1" applyFont="1" applyFill="1" applyBorder="1" applyAlignment="1">
      <alignment horizontal="center"/>
    </xf>
    <xf numFmtId="3" fontId="140" fillId="27" borderId="561" xfId="0" applyNumberFormat="1" applyFont="1" applyFill="1" applyBorder="1" applyAlignment="1">
      <alignment horizontal="center"/>
    </xf>
    <xf numFmtId="0" fontId="4" fillId="0" borderId="744" xfId="0" applyFont="1" applyBorder="1" applyAlignment="1">
      <alignment horizontal="left"/>
    </xf>
    <xf numFmtId="0" fontId="4" fillId="0" borderId="745" xfId="0" applyFont="1" applyBorder="1" applyAlignment="1">
      <alignment horizontal="left"/>
    </xf>
    <xf numFmtId="0" fontId="4" fillId="0" borderId="746" xfId="0" applyFont="1" applyBorder="1" applyAlignment="1">
      <alignment horizontal="left"/>
    </xf>
    <xf numFmtId="3" fontId="70" fillId="24" borderId="0" xfId="0" applyNumberFormat="1" applyFont="1" applyFill="1" applyAlignment="1">
      <alignment horizontal="left" vertical="center" wrapText="1"/>
    </xf>
    <xf numFmtId="3" fontId="70" fillId="24" borderId="750" xfId="0" applyNumberFormat="1" applyFont="1" applyFill="1" applyBorder="1" applyAlignment="1">
      <alignment horizontal="left" vertical="center" wrapText="1"/>
    </xf>
    <xf numFmtId="3" fontId="132" fillId="3" borderId="744" xfId="15" applyFont="1" applyFill="1" applyBorder="1" applyAlignment="1" applyProtection="1">
      <alignment horizontal="center" vertical="center" wrapText="1"/>
    </xf>
    <xf numFmtId="3" fontId="132" fillId="3" borderId="745" xfId="15" applyFont="1" applyFill="1" applyBorder="1" applyAlignment="1" applyProtection="1">
      <alignment horizontal="center" vertical="center" wrapText="1"/>
    </xf>
    <xf numFmtId="3" fontId="132" fillId="3" borderId="746" xfId="15" applyFont="1" applyFill="1" applyBorder="1" applyAlignment="1" applyProtection="1">
      <alignment horizontal="center" vertical="center" wrapText="1"/>
    </xf>
    <xf numFmtId="0" fontId="38" fillId="11" borderId="574" xfId="0" applyFont="1" applyFill="1" applyBorder="1" applyAlignment="1">
      <alignment horizontal="center"/>
    </xf>
    <xf numFmtId="0" fontId="38" fillId="11" borderId="448" xfId="0" applyFont="1" applyFill="1" applyBorder="1" applyAlignment="1">
      <alignment horizontal="center"/>
    </xf>
    <xf numFmtId="3" fontId="134" fillId="15" borderId="568" xfId="0" applyNumberFormat="1" applyFont="1" applyFill="1" applyBorder="1" applyAlignment="1">
      <alignment horizontal="center"/>
    </xf>
    <xf numFmtId="3" fontId="134" fillId="15" borderId="546" xfId="0" applyNumberFormat="1" applyFont="1" applyFill="1" applyBorder="1" applyAlignment="1">
      <alignment horizontal="center"/>
    </xf>
    <xf numFmtId="10" fontId="64" fillId="10" borderId="95" xfId="0" applyNumberFormat="1" applyFont="1" applyFill="1" applyBorder="1" applyAlignment="1">
      <alignment horizontal="center" wrapText="1"/>
    </xf>
    <xf numFmtId="10" fontId="64" fillId="10" borderId="657" xfId="0" applyNumberFormat="1" applyFont="1" applyFill="1" applyBorder="1" applyAlignment="1">
      <alignment horizontal="center" wrapText="1"/>
    </xf>
    <xf numFmtId="3" fontId="70" fillId="10" borderId="96" xfId="1" applyNumberFormat="1" applyFont="1" applyFill="1" applyBorder="1" applyAlignment="1" applyProtection="1">
      <alignment horizontal="right"/>
    </xf>
    <xf numFmtId="3" fontId="70" fillId="10" borderId="228" xfId="1" applyNumberFormat="1" applyFont="1" applyFill="1" applyBorder="1" applyAlignment="1" applyProtection="1">
      <alignment horizontal="right"/>
    </xf>
    <xf numFmtId="0" fontId="29" fillId="0" borderId="619" xfId="0" applyFont="1" applyBorder="1" applyAlignment="1">
      <alignment horizontal="center" wrapText="1"/>
    </xf>
    <xf numFmtId="0" fontId="29" fillId="0" borderId="620" xfId="0" applyFont="1" applyBorder="1" applyAlignment="1">
      <alignment horizontal="center" wrapText="1"/>
    </xf>
    <xf numFmtId="0" fontId="29" fillId="0" borderId="550" xfId="0" applyFont="1" applyBorder="1" applyAlignment="1">
      <alignment horizontal="center"/>
    </xf>
    <xf numFmtId="0" fontId="29" fillId="0" borderId="572" xfId="0" applyFont="1" applyBorder="1" applyAlignment="1">
      <alignment horizontal="center"/>
    </xf>
    <xf numFmtId="0" fontId="64" fillId="18" borderId="660" xfId="0" applyFont="1" applyFill="1" applyBorder="1" applyAlignment="1">
      <alignment horizontal="left" wrapText="1"/>
    </xf>
    <xf numFmtId="0" fontId="64" fillId="18" borderId="661" xfId="0" applyFont="1" applyFill="1" applyBorder="1" applyAlignment="1">
      <alignment horizontal="left" wrapText="1"/>
    </xf>
    <xf numFmtId="0" fontId="64" fillId="18" borderId="662" xfId="0" applyFont="1" applyFill="1" applyBorder="1" applyAlignment="1">
      <alignment horizontal="left" wrapText="1"/>
    </xf>
    <xf numFmtId="0" fontId="29" fillId="0" borderId="550" xfId="0" applyFont="1" applyBorder="1" applyAlignment="1">
      <alignment horizontal="center" wrapText="1"/>
    </xf>
    <xf numFmtId="0" fontId="29" fillId="0" borderId="572" xfId="0" applyFont="1" applyBorder="1" applyAlignment="1">
      <alignment horizontal="center" wrapText="1"/>
    </xf>
    <xf numFmtId="0" fontId="70" fillId="10" borderId="472" xfId="0" applyFont="1" applyFill="1" applyBorder="1" applyAlignment="1">
      <alignment horizontal="left" wrapText="1"/>
    </xf>
    <xf numFmtId="0" fontId="70" fillId="10" borderId="169" xfId="0" applyFont="1" applyFill="1" applyBorder="1" applyAlignment="1">
      <alignment horizontal="left" wrapText="1"/>
    </xf>
    <xf numFmtId="3" fontId="70" fillId="10" borderId="454" xfId="1" applyNumberFormat="1" applyFont="1" applyFill="1" applyBorder="1" applyAlignment="1" applyProtection="1">
      <alignment horizontal="right" wrapText="1"/>
    </xf>
    <xf numFmtId="3" fontId="70" fillId="10" borderId="203" xfId="1" applyNumberFormat="1" applyFont="1" applyFill="1" applyBorder="1" applyAlignment="1" applyProtection="1">
      <alignment horizontal="right" wrapText="1"/>
    </xf>
    <xf numFmtId="0" fontId="29" fillId="0" borderId="231" xfId="0" applyFont="1" applyBorder="1" applyAlignment="1">
      <alignment horizontal="center"/>
    </xf>
    <xf numFmtId="0" fontId="29" fillId="0" borderId="232" xfId="0" applyFont="1" applyBorder="1" applyAlignment="1">
      <alignment horizontal="center"/>
    </xf>
    <xf numFmtId="0" fontId="29" fillId="0" borderId="532" xfId="0" applyFont="1" applyBorder="1" applyAlignment="1">
      <alignment horizontal="center" wrapText="1"/>
    </xf>
    <xf numFmtId="0" fontId="29" fillId="0" borderId="549" xfId="0" applyFont="1" applyBorder="1" applyAlignment="1">
      <alignment horizontal="center" wrapText="1"/>
    </xf>
    <xf numFmtId="0" fontId="70" fillId="10" borderId="472" xfId="0" applyFont="1" applyFill="1" applyBorder="1" applyAlignment="1">
      <alignment horizontal="center" wrapText="1"/>
    </xf>
    <xf numFmtId="0" fontId="70" fillId="10" borderId="169" xfId="0" applyFont="1" applyFill="1" applyBorder="1" applyAlignment="1">
      <alignment horizontal="center" wrapText="1"/>
    </xf>
    <xf numFmtId="0" fontId="38" fillId="0" borderId="671" xfId="0" applyFont="1" applyBorder="1" applyAlignment="1">
      <alignment horizontal="center" wrapText="1"/>
    </xf>
    <xf numFmtId="0" fontId="38" fillId="0" borderId="672" xfId="0" applyFont="1" applyBorder="1" applyAlignment="1">
      <alignment horizontal="center" wrapText="1"/>
    </xf>
    <xf numFmtId="0" fontId="64" fillId="10" borderId="281" xfId="0" applyFont="1" applyFill="1" applyBorder="1"/>
    <xf numFmtId="0" fontId="64" fillId="10" borderId="196" xfId="0" applyFont="1" applyFill="1" applyBorder="1"/>
    <xf numFmtId="0" fontId="38" fillId="0" borderId="184" xfId="0" applyFont="1" applyBorder="1" applyAlignment="1">
      <alignment horizontal="center"/>
    </xf>
  </cellXfs>
  <cellStyles count="201">
    <cellStyle name="1000-sep (2 dec) 2" xfId="74" xr:uid="{00000000-0005-0000-0000-000001000000}"/>
    <cellStyle name="1000-sep_KD-lån" xfId="3" xr:uid="{00000000-0005-0000-0000-000003000000}"/>
    <cellStyle name="1000-sep+,00_aktuel-aar" xfId="4" xr:uid="{00000000-0005-0000-0000-000004000000}"/>
    <cellStyle name="12" xfId="5" xr:uid="{00000000-0005-0000-0000-000005000000}"/>
    <cellStyle name="14" xfId="6" xr:uid="{00000000-0005-0000-0000-000006000000}"/>
    <cellStyle name="9" xfId="7" xr:uid="{00000000-0005-0000-0000-000007000000}"/>
    <cellStyle name="Besøgt link" xfId="151" builtinId="9" hidden="1"/>
    <cellStyle name="Besøgt link" xfId="143" builtinId="9" hidden="1"/>
    <cellStyle name="Besøgt link" xfId="135" builtinId="9" hidden="1"/>
    <cellStyle name="Besøgt link" xfId="127" builtinId="9" hidden="1"/>
    <cellStyle name="Besøgt link" xfId="119" builtinId="9" hidden="1"/>
    <cellStyle name="Besøgt link" xfId="107" builtinId="9" hidden="1"/>
    <cellStyle name="Besøgt link" xfId="99" builtinId="9" hidden="1"/>
    <cellStyle name="Besøgt link" xfId="91" builtinId="9" hidden="1"/>
    <cellStyle name="Besøgt link" xfId="82" builtinId="9" hidden="1"/>
    <cellStyle name="Besøgt link" xfId="69" builtinId="9" hidden="1"/>
    <cellStyle name="Besøgt link" xfId="39" builtinId="9" hidden="1"/>
    <cellStyle name="Besøgt link" xfId="52" builtinId="9" hidden="1"/>
    <cellStyle name="Besøgt link" xfId="57" builtinId="9" hidden="1"/>
    <cellStyle name="Besøgt link" xfId="64" builtinId="9" hidden="1"/>
    <cellStyle name="Besøgt link" xfId="40" builtinId="9" hidden="1"/>
    <cellStyle name="Besøgt link" xfId="36" builtinId="9" hidden="1"/>
    <cellStyle name="Besøgt link" xfId="31" builtinId="9" hidden="1"/>
    <cellStyle name="Besøgt link" xfId="30" builtinId="9" hidden="1"/>
    <cellStyle name="Besøgt link" xfId="35" builtinId="9" hidden="1"/>
    <cellStyle name="Besøgt link" xfId="51" builtinId="9" hidden="1"/>
    <cellStyle name="Besøgt link" xfId="63" builtinId="9" hidden="1"/>
    <cellStyle name="Besøgt link" xfId="56" builtinId="9" hidden="1"/>
    <cellStyle name="Besøgt link" xfId="43" builtinId="9" hidden="1"/>
    <cellStyle name="Besøgt link" xfId="38" builtinId="9" hidden="1"/>
    <cellStyle name="Besøgt link" xfId="71" builtinId="9" hidden="1"/>
    <cellStyle name="Besøgt link" xfId="84" builtinId="9" hidden="1"/>
    <cellStyle name="Besøgt link" xfId="93" builtinId="9" hidden="1"/>
    <cellStyle name="Besøgt link" xfId="101" builtinId="9" hidden="1"/>
    <cellStyle name="Besøgt link" xfId="109" builtinId="9" hidden="1"/>
    <cellStyle name="Besøgt link" xfId="121" builtinId="9" hidden="1"/>
    <cellStyle name="Besøgt link" xfId="129" builtinId="9" hidden="1"/>
    <cellStyle name="Besøgt link" xfId="137" builtinId="9" hidden="1"/>
    <cellStyle name="Besøgt link" xfId="145" builtinId="9" hidden="1"/>
    <cellStyle name="Besøgt link" xfId="153" builtinId="9" hidden="1"/>
    <cellStyle name="Besøgt link" xfId="161" builtinId="9" hidden="1"/>
    <cellStyle name="Besøgt link" xfId="169" builtinId="9" hidden="1"/>
    <cellStyle name="Besøgt link" xfId="178" builtinId="9" hidden="1"/>
    <cellStyle name="Besøgt link" xfId="188" builtinId="9" hidden="1"/>
    <cellStyle name="Besøgt link" xfId="196" builtinId="9" hidden="1"/>
    <cellStyle name="Besøgt link" xfId="197" builtinId="9" hidden="1"/>
    <cellStyle name="Besøgt link" xfId="189" builtinId="9" hidden="1"/>
    <cellStyle name="Besøgt link" xfId="179" builtinId="9" hidden="1"/>
    <cellStyle name="Besøgt link" xfId="170" builtinId="9" hidden="1"/>
    <cellStyle name="Besøgt link" xfId="162" builtinId="9" hidden="1"/>
    <cellStyle name="Besøgt link" xfId="154" builtinId="9" hidden="1"/>
    <cellStyle name="Besøgt link" xfId="146" builtinId="9" hidden="1"/>
    <cellStyle name="Besøgt link" xfId="138" builtinId="9" hidden="1"/>
    <cellStyle name="Besøgt link" xfId="130" builtinId="9" hidden="1"/>
    <cellStyle name="Besøgt link" xfId="92" builtinId="9" hidden="1"/>
    <cellStyle name="Besøgt link" xfId="98" builtinId="9" hidden="1"/>
    <cellStyle name="Besøgt link" xfId="104" builtinId="9" hidden="1"/>
    <cellStyle name="Besøgt link" xfId="108" builtinId="9" hidden="1"/>
    <cellStyle name="Besøgt link" xfId="118" builtinId="9" hidden="1"/>
    <cellStyle name="Besøgt link" xfId="124" builtinId="9" hidden="1"/>
    <cellStyle name="Besøgt link" xfId="128" builtinId="9" hidden="1"/>
    <cellStyle name="Besøgt link" xfId="114" builtinId="9" hidden="1"/>
    <cellStyle name="Besøgt link" xfId="94" builtinId="9" hidden="1"/>
    <cellStyle name="Besøgt link" xfId="81" builtinId="9" hidden="1"/>
    <cellStyle name="Besøgt link" xfId="85" builtinId="9" hidden="1"/>
    <cellStyle name="Besøgt link" xfId="77" builtinId="9" hidden="1"/>
    <cellStyle name="Besøgt link" xfId="70" builtinId="9" hidden="1"/>
    <cellStyle name="Besøgt link" xfId="66" builtinId="9" hidden="1"/>
    <cellStyle name="Besøgt link" xfId="68" builtinId="9" hidden="1"/>
    <cellStyle name="Besøgt link" xfId="87" builtinId="9" hidden="1"/>
    <cellStyle name="Besøgt link" xfId="83" builtinId="9" hidden="1"/>
    <cellStyle name="Besøgt link" xfId="79" builtinId="9" hidden="1"/>
    <cellStyle name="Besøgt link" xfId="102" builtinId="9" hidden="1"/>
    <cellStyle name="Besøgt link" xfId="122" builtinId="9" hidden="1"/>
    <cellStyle name="Besøgt link" xfId="126" builtinId="9" hidden="1"/>
    <cellStyle name="Besøgt link" xfId="120" builtinId="9" hidden="1"/>
    <cellStyle name="Besøgt link" xfId="116" builtinId="9" hidden="1"/>
    <cellStyle name="Besøgt link" xfId="106" builtinId="9" hidden="1"/>
    <cellStyle name="Besøgt link" xfId="100" builtinId="9" hidden="1"/>
    <cellStyle name="Besøgt link" xfId="96" builtinId="9" hidden="1"/>
    <cellStyle name="Besøgt link" xfId="89" builtinId="9" hidden="1"/>
    <cellStyle name="Besøgt link" xfId="134" builtinId="9" hidden="1"/>
    <cellStyle name="Besøgt link" xfId="142" builtinId="9" hidden="1"/>
    <cellStyle name="Besøgt link" xfId="150" builtinId="9" hidden="1"/>
    <cellStyle name="Besøgt link" xfId="158" builtinId="9" hidden="1"/>
    <cellStyle name="Besøgt link" xfId="166" builtinId="9" hidden="1"/>
    <cellStyle name="Besøgt link" xfId="175" builtinId="9" hidden="1"/>
    <cellStyle name="Besøgt link" xfId="185" builtinId="9" hidden="1"/>
    <cellStyle name="Besøgt link" xfId="193" builtinId="9" hidden="1"/>
    <cellStyle name="Besøgt link" xfId="200" builtinId="9" hidden="1"/>
    <cellStyle name="Besøgt link" xfId="192" builtinId="9" hidden="1"/>
    <cellStyle name="Besøgt link" xfId="184" builtinId="9" hidden="1"/>
    <cellStyle name="Besøgt link" xfId="173" builtinId="9" hidden="1"/>
    <cellStyle name="Besøgt link" xfId="165" builtinId="9" hidden="1"/>
    <cellStyle name="Besøgt link" xfId="157" builtinId="9" hidden="1"/>
    <cellStyle name="Besøgt link" xfId="149" builtinId="9" hidden="1"/>
    <cellStyle name="Besøgt link" xfId="141" builtinId="9" hidden="1"/>
    <cellStyle name="Besøgt link" xfId="133" builtinId="9" hidden="1"/>
    <cellStyle name="Besøgt link" xfId="125" builtinId="9" hidden="1"/>
    <cellStyle name="Besøgt link" xfId="117" builtinId="9" hidden="1"/>
    <cellStyle name="Besøgt link" xfId="105" builtinId="9" hidden="1"/>
    <cellStyle name="Besøgt link" xfId="97" builtinId="9" hidden="1"/>
    <cellStyle name="Besøgt link" xfId="88" builtinId="9" hidden="1"/>
    <cellStyle name="Besøgt link" xfId="80" builtinId="9" hidden="1"/>
    <cellStyle name="Besøgt link" xfId="67" builtinId="9" hidden="1"/>
    <cellStyle name="Besøgt link" xfId="41" builtinId="9" hidden="1"/>
    <cellStyle name="Besøgt link" xfId="53" builtinId="9" hidden="1"/>
    <cellStyle name="Besøgt link" xfId="60" builtinId="9" hidden="1"/>
    <cellStyle name="Besøgt link" xfId="61" builtinId="9" hidden="1"/>
    <cellStyle name="Besøgt link" xfId="33" builtinId="9" hidden="1"/>
    <cellStyle name="Besøgt link" xfId="37" builtinId="9" hidden="1"/>
    <cellStyle name="Besøgt link" xfId="29" builtinId="9" hidden="1"/>
    <cellStyle name="Besøgt link" xfId="32" builtinId="9" hidden="1"/>
    <cellStyle name="Besøgt link" xfId="34" builtinId="9" hidden="1"/>
    <cellStyle name="Besøgt link" xfId="55" builtinId="9" hidden="1"/>
    <cellStyle name="Besøgt link" xfId="62" builtinId="9" hidden="1"/>
    <cellStyle name="Besøgt link" xfId="54" builtinId="9" hidden="1"/>
    <cellStyle name="Besøgt link" xfId="42" builtinId="9" hidden="1"/>
    <cellStyle name="Besøgt link" xfId="65" builtinId="9" hidden="1"/>
    <cellStyle name="Besøgt link" xfId="78" builtinId="9" hidden="1"/>
    <cellStyle name="Besøgt link" xfId="86" builtinId="9" hidden="1"/>
    <cellStyle name="Besøgt link" xfId="95" builtinId="9" hidden="1"/>
    <cellStyle name="Besøgt link" xfId="103" builtinId="9" hidden="1"/>
    <cellStyle name="Besøgt link" xfId="115" builtinId="9" hidden="1"/>
    <cellStyle name="Besøgt link" xfId="123" builtinId="9" hidden="1"/>
    <cellStyle name="Besøgt link" xfId="131" builtinId="9" hidden="1"/>
    <cellStyle name="Besøgt link" xfId="139" builtinId="9" hidden="1"/>
    <cellStyle name="Besøgt link" xfId="147" builtinId="9" hidden="1"/>
    <cellStyle name="Besøgt link" xfId="155" builtinId="9" hidden="1"/>
    <cellStyle name="Besøgt link" xfId="168" builtinId="9" hidden="1"/>
    <cellStyle name="Besøgt link" xfId="172" builtinId="9" hidden="1"/>
    <cellStyle name="Besøgt link" xfId="181" builtinId="9" hidden="1"/>
    <cellStyle name="Besøgt link" xfId="187" builtinId="9" hidden="1"/>
    <cellStyle name="Besøgt link" xfId="191" builtinId="9" hidden="1"/>
    <cellStyle name="Besøgt link" xfId="199" builtinId="9" hidden="1"/>
    <cellStyle name="Besøgt link" xfId="198" builtinId="9" hidden="1"/>
    <cellStyle name="Besøgt link" xfId="194" builtinId="9" hidden="1"/>
    <cellStyle name="Besøgt link" xfId="186" builtinId="9" hidden="1"/>
    <cellStyle name="Besøgt link" xfId="180" builtinId="9" hidden="1"/>
    <cellStyle name="Besøgt link" xfId="176" builtinId="9" hidden="1"/>
    <cellStyle name="Besøgt link" xfId="167" builtinId="9" hidden="1"/>
    <cellStyle name="Besøgt link" xfId="163" builtinId="9" hidden="1"/>
    <cellStyle name="Besøgt link" xfId="159" builtinId="9" hidden="1"/>
    <cellStyle name="Besøgt link" xfId="171" builtinId="9" hidden="1"/>
    <cellStyle name="Besøgt link" xfId="190" builtinId="9" hidden="1"/>
    <cellStyle name="Besøgt link" xfId="195" builtinId="9" hidden="1"/>
    <cellStyle name="Besøgt link" xfId="177" builtinId="9" hidden="1"/>
    <cellStyle name="Besøgt link" xfId="148" builtinId="9" hidden="1"/>
    <cellStyle name="Besøgt link" xfId="152" builtinId="9" hidden="1"/>
    <cellStyle name="Besøgt link" xfId="156" builtinId="9" hidden="1"/>
    <cellStyle name="Besøgt link" xfId="160" builtinId="9" hidden="1"/>
    <cellStyle name="Besøgt link" xfId="164" builtinId="9" hidden="1"/>
    <cellStyle name="Besøgt link" xfId="144" builtinId="9" hidden="1"/>
    <cellStyle name="Besøgt link" xfId="136" builtinId="9" hidden="1"/>
    <cellStyle name="Besøgt link" xfId="140" builtinId="9" hidden="1"/>
    <cellStyle name="Besøgt link" xfId="132" builtinId="9" hidden="1"/>
    <cellStyle name="Chicago" xfId="8" xr:uid="{00000000-0005-0000-0000-00009E000000}"/>
    <cellStyle name="Comma [0]_DelAktPl.xls" xfId="49" xr:uid="{00000000-0005-0000-0000-00009F000000}"/>
    <cellStyle name="Comma_DelAktPl.xls" xfId="9" xr:uid="{00000000-0005-0000-0000-0000A0000000}"/>
    <cellStyle name="Comma_Lon.xls1" xfId="46" xr:uid="{00000000-0005-0000-0000-0000A1000000}"/>
    <cellStyle name="Comma_Lon.xls1 2" xfId="110" xr:uid="{00000000-0005-0000-0000-0000A2000000}"/>
    <cellStyle name="courier" xfId="10" xr:uid="{00000000-0005-0000-0000-0000A3000000}"/>
    <cellStyle name="courier_031SKPE.XLS" xfId="11" xr:uid="{00000000-0005-0000-0000-0000A4000000}"/>
    <cellStyle name="Currency [0]_5Straat2003.xls" xfId="12" xr:uid="{00000000-0005-0000-0000-0000A5000000}"/>
    <cellStyle name="Currency_DelAktPl.xls" xfId="50" xr:uid="{00000000-0005-0000-0000-0000A6000000}"/>
    <cellStyle name="Followed Hyperlink" xfId="13" xr:uid="{00000000-0005-0000-0000-0000A7000000}"/>
    <cellStyle name="Komma" xfId="1" builtinId="3"/>
    <cellStyle name="Komma [0]" xfId="2" builtinId="6"/>
    <cellStyle name="Komma 2" xfId="183" xr:uid="{00000000-0005-0000-0000-0000A9000000}"/>
    <cellStyle name="komma0" xfId="15" xr:uid="{00000000-0005-0000-0000-0000AA000000}"/>
    <cellStyle name="komma0 2" xfId="48" xr:uid="{00000000-0005-0000-0000-0000AB000000}"/>
    <cellStyle name="komma0 3" xfId="72" xr:uid="{00000000-0005-0000-0000-0000AC000000}"/>
    <cellStyle name="komma1" xfId="16" xr:uid="{00000000-0005-0000-0000-0000AD000000}"/>
    <cellStyle name="komma2" xfId="17" xr:uid="{00000000-0005-0000-0000-0000AE000000}"/>
    <cellStyle name="komma2 2" xfId="76" xr:uid="{00000000-0005-0000-0000-0000AF000000}"/>
    <cellStyle name="komma4" xfId="18" xr:uid="{00000000-0005-0000-0000-0000B0000000}"/>
    <cellStyle name="kr" xfId="19" xr:uid="{00000000-0005-0000-0000-0000B1000000}"/>
    <cellStyle name="Link" xfId="14" builtinId="8"/>
    <cellStyle name="Normal" xfId="0" builtinId="0"/>
    <cellStyle name="Normal 2" xfId="44" xr:uid="{00000000-0005-0000-0000-0000B3000000}"/>
    <cellStyle name="Normal 2 2" xfId="113" xr:uid="{00000000-0005-0000-0000-0000B4000000}"/>
    <cellStyle name="Normal 3" xfId="58" xr:uid="{00000000-0005-0000-0000-0000B5000000}"/>
    <cellStyle name="Normal 4" xfId="90" xr:uid="{00000000-0005-0000-0000-0000B6000000}"/>
    <cellStyle name="Normal 5" xfId="112" xr:uid="{00000000-0005-0000-0000-0000B7000000}"/>
    <cellStyle name="Normal 6" xfId="182" xr:uid="{00000000-0005-0000-0000-0000B8000000}"/>
    <cellStyle name="Normal_KD-lån" xfId="20" xr:uid="{00000000-0005-0000-0000-0000B9000000}"/>
    <cellStyle name="Normal_Lon.xls1" xfId="45" xr:uid="{00000000-0005-0000-0000-0000BA000000}"/>
    <cellStyle name="Normal_LonAug00.xls 2" xfId="59" xr:uid="{00000000-0005-0000-0000-0000BB000000}"/>
    <cellStyle name="Normal_NYRen2003bud15" xfId="21" xr:uid="{00000000-0005-0000-0000-0000BC000000}"/>
    <cellStyle name="Normal_t-tabel" xfId="22" xr:uid="{00000000-0005-0000-0000-0000BD000000}"/>
    <cellStyle name="prc0" xfId="23" xr:uid="{00000000-0005-0000-0000-0000BE000000}"/>
    <cellStyle name="prc0 2" xfId="73" xr:uid="{00000000-0005-0000-0000-0000BF000000}"/>
    <cellStyle name="prc1" xfId="24" xr:uid="{00000000-0005-0000-0000-0000C0000000}"/>
    <cellStyle name="prc2" xfId="25" xr:uid="{00000000-0005-0000-0000-0000C1000000}"/>
    <cellStyle name="Procent" xfId="26" builtinId="5"/>
    <cellStyle name="Procent 2" xfId="47" xr:uid="{00000000-0005-0000-0000-0000C3000000}"/>
    <cellStyle name="Procent 3" xfId="75" xr:uid="{00000000-0005-0000-0000-0000C4000000}"/>
    <cellStyle name="Procent 4" xfId="111" xr:uid="{00000000-0005-0000-0000-0000C5000000}"/>
    <cellStyle name="skkode" xfId="27" xr:uid="{00000000-0005-0000-0000-0000C6000000}"/>
    <cellStyle name="skygget" xfId="28" xr:uid="{00000000-0005-0000-0000-0000C7000000}"/>
    <cellStyle name="Valuta" xfId="174" builtinId="4"/>
  </cellStyles>
  <dxfs count="58">
    <dxf>
      <font>
        <strike val="0"/>
        <color theme="0"/>
      </font>
      <fill>
        <patternFill>
          <bgColor rgb="FFC00000"/>
        </patternFill>
      </fill>
    </dxf>
    <dxf>
      <font>
        <color theme="1"/>
      </font>
      <fill>
        <patternFill>
          <bgColor rgb="FF00B050"/>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00"/>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00"/>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00"/>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00"/>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00"/>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00"/>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FF00"/>
        </patternFill>
      </fill>
    </dxf>
    <dxf>
      <fill>
        <patternFill>
          <bgColor rgb="FFFFFF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00"/>
      <color rgb="FFFFFBBE"/>
      <color rgb="FF3469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onnections" Target="connections.xml"/><Relationship Id="rId30" Type="http://schemas.openxmlformats.org/officeDocument/2006/relationships/sheetMetadata" Target="metadata.xml"/><Relationship Id="rId35" Type="http://schemas.openxmlformats.org/officeDocument/2006/relationships/customXml" Target="../customXml/item3.xml"/><Relationship Id="rId8" Type="http://schemas.openxmlformats.org/officeDocument/2006/relationships/worksheet" Target="worksheets/sheet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3559338471839602E-2"/>
          <c:y val="8.4070978098594429E-2"/>
          <c:w val="0.91313582937876303"/>
          <c:h val="0.78761232113419799"/>
        </c:manualLayout>
      </c:layout>
      <c:lineChart>
        <c:grouping val="standard"/>
        <c:varyColors val="0"/>
        <c:ser>
          <c:idx val="0"/>
          <c:order val="0"/>
          <c:tx>
            <c:strRef>
              <c:f>Prognose!$A$9</c:f>
              <c:strCache>
                <c:ptCount val="1"/>
                <c:pt idx="0">
                  <c:v>Elevtal</c:v>
                </c:pt>
              </c:strCache>
            </c:strRef>
          </c:tx>
          <c:spPr>
            <a:ln w="12700">
              <a:solidFill>
                <a:srgbClr val="900000"/>
              </a:solidFill>
              <a:prstDash val="solid"/>
            </a:ln>
          </c:spPr>
          <c:marker>
            <c:symbol val="x"/>
            <c:size val="6"/>
            <c:spPr>
              <a:noFill/>
              <a:ln>
                <a:solidFill>
                  <a:srgbClr val="800000"/>
                </a:solidFill>
                <a:prstDash val="solid"/>
              </a:ln>
            </c:spPr>
          </c:marker>
          <c:cat>
            <c:numRef>
              <c:f>Prognose!$B$4:$E$4</c:f>
              <c:numCache>
                <c:formatCode>General</c:formatCode>
                <c:ptCount val="4"/>
                <c:pt idx="0">
                  <c:v>2024</c:v>
                </c:pt>
                <c:pt idx="1">
                  <c:v>2025</c:v>
                </c:pt>
                <c:pt idx="2">
                  <c:v>2026</c:v>
                </c:pt>
                <c:pt idx="3">
                  <c:v>2027</c:v>
                </c:pt>
              </c:numCache>
            </c:numRef>
          </c:cat>
          <c:val>
            <c:numRef>
              <c:f>Prognose!$B$9:$E$9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0-47AE-4A41-8143-430C4D95D1B1}"/>
            </c:ext>
          </c:extLst>
        </c:ser>
        <c:ser>
          <c:idx val="1"/>
          <c:order val="1"/>
          <c:tx>
            <c:strRef>
              <c:f>Prognose!$A$10</c:f>
              <c:strCache>
                <c:ptCount val="1"/>
                <c:pt idx="0">
                  <c:v>SFO</c:v>
                </c:pt>
              </c:strCache>
            </c:strRef>
          </c:tx>
          <c:spPr>
            <a:ln w="12700">
              <a:solidFill>
                <a:srgbClr val="F20884"/>
              </a:solidFill>
              <a:prstDash val="solid"/>
            </a:ln>
          </c:spPr>
          <c:marker>
            <c:symbol val="none"/>
          </c:marker>
          <c:cat>
            <c:numRef>
              <c:f>Prognose!$B$4:$E$4</c:f>
              <c:numCache>
                <c:formatCode>General</c:formatCode>
                <c:ptCount val="4"/>
                <c:pt idx="0">
                  <c:v>2024</c:v>
                </c:pt>
                <c:pt idx="1">
                  <c:v>2025</c:v>
                </c:pt>
                <c:pt idx="2">
                  <c:v>2026</c:v>
                </c:pt>
                <c:pt idx="3">
                  <c:v>2027</c:v>
                </c:pt>
              </c:numCache>
            </c:numRef>
          </c:cat>
          <c:val>
            <c:numRef>
              <c:f>Prognose!$B$10:$E$10</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1-47AE-4A41-8143-430C4D95D1B1}"/>
            </c:ext>
          </c:extLst>
        </c:ser>
        <c:dLbls>
          <c:showLegendKey val="0"/>
          <c:showVal val="0"/>
          <c:showCatName val="0"/>
          <c:showSerName val="0"/>
          <c:showPercent val="0"/>
          <c:showBubbleSize val="0"/>
        </c:dLbls>
        <c:marker val="1"/>
        <c:smooth val="0"/>
        <c:axId val="180661248"/>
        <c:axId val="180663040"/>
      </c:lineChart>
      <c:catAx>
        <c:axId val="18066124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575" b="0" i="0" u="none" strike="noStrike" baseline="0">
                <a:solidFill>
                  <a:srgbClr val="000000"/>
                </a:solidFill>
                <a:latin typeface="Geneva"/>
                <a:ea typeface="Geneva"/>
                <a:cs typeface="Geneva"/>
              </a:defRPr>
            </a:pPr>
            <a:endParaRPr lang="da-DK"/>
          </a:p>
        </c:txPr>
        <c:crossAx val="180663040"/>
        <c:crosses val="autoZero"/>
        <c:auto val="1"/>
        <c:lblAlgn val="ctr"/>
        <c:lblOffset val="100"/>
        <c:tickLblSkip val="1"/>
        <c:tickMarkSkip val="1"/>
        <c:noMultiLvlLbl val="0"/>
      </c:catAx>
      <c:valAx>
        <c:axId val="180663040"/>
        <c:scaling>
          <c:orientation val="minMax"/>
        </c:scaling>
        <c:delete val="0"/>
        <c:axPos val="l"/>
        <c:majorGridlines>
          <c:spPr>
            <a:ln w="3175">
              <a:solidFill>
                <a:srgbClr val="000000"/>
              </a:solidFill>
              <a:prstDash val="solid"/>
            </a:ln>
          </c:spPr>
        </c:majorGridlines>
        <c:numFmt formatCode="#,##0" sourceLinked="1"/>
        <c:majorTickMark val="out"/>
        <c:minorTickMark val="none"/>
        <c:tickLblPos val="low"/>
        <c:spPr>
          <a:ln w="3175">
            <a:solidFill>
              <a:srgbClr val="000000"/>
            </a:solidFill>
            <a:prstDash val="solid"/>
          </a:ln>
        </c:spPr>
        <c:txPr>
          <a:bodyPr rot="0" vert="horz"/>
          <a:lstStyle/>
          <a:p>
            <a:pPr>
              <a:defRPr sz="575" b="0" i="0" u="none" strike="noStrike" baseline="0">
                <a:solidFill>
                  <a:srgbClr val="000000"/>
                </a:solidFill>
                <a:latin typeface="Geneva"/>
                <a:ea typeface="Geneva"/>
                <a:cs typeface="Geneva"/>
              </a:defRPr>
            </a:pPr>
            <a:endParaRPr lang="da-DK"/>
          </a:p>
        </c:txPr>
        <c:crossAx val="180661248"/>
        <c:crosses val="autoZero"/>
        <c:crossBetween val="between"/>
      </c:valAx>
      <c:spPr>
        <a:solidFill>
          <a:srgbClr val="C0C0C0"/>
        </a:solidFill>
        <a:ln w="12700">
          <a:solidFill>
            <a:srgbClr val="808080"/>
          </a:solidFill>
          <a:prstDash val="solid"/>
        </a:ln>
      </c:spPr>
    </c:plotArea>
    <c:legend>
      <c:legendPos val="r"/>
      <c:layout>
        <c:manualLayout>
          <c:xMode val="edge"/>
          <c:yMode val="edge"/>
          <c:x val="0.57664233576642299"/>
          <c:y val="0.34472101962984714"/>
          <c:w val="0.226277372262774"/>
          <c:h val="5.279511111448091E-2"/>
        </c:manualLayout>
      </c:layout>
      <c:overlay val="0"/>
      <c:spPr>
        <a:solidFill>
          <a:srgbClr val="FFFFFF"/>
        </a:solidFill>
        <a:ln w="3175">
          <a:solidFill>
            <a:srgbClr val="000000"/>
          </a:solidFill>
          <a:prstDash val="solid"/>
        </a:ln>
      </c:spPr>
      <c:txPr>
        <a:bodyPr/>
        <a:lstStyle/>
        <a:p>
          <a:pPr>
            <a:defRPr sz="535" b="0" i="0" u="none" strike="noStrike" baseline="0">
              <a:solidFill>
                <a:srgbClr val="000000"/>
              </a:solidFill>
              <a:latin typeface="Geneva"/>
              <a:ea typeface="Geneva"/>
              <a:cs typeface="Geneva"/>
            </a:defRPr>
          </a:pPr>
          <a:endParaRPr lang="da-DK"/>
        </a:p>
      </c:txPr>
    </c:legend>
    <c:plotVisOnly val="0"/>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da-DK"/>
    </a:p>
  </c:txPr>
  <c:printSettings>
    <c:headerFooter alignWithMargins="0"/>
    <c:pageMargins b="1" l="0.75000000000000211" r="0.75000000000000211" t="1" header="0.51180555555555807" footer="0.51180555555555807"/>
    <c:pageSetup firstPageNumber="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882992868151201"/>
          <c:y val="7.1428669766767386E-2"/>
          <c:w val="0.86105994475372405"/>
          <c:h val="0.81579059680992205"/>
        </c:manualLayout>
      </c:layout>
      <c:lineChart>
        <c:grouping val="standard"/>
        <c:varyColors val="0"/>
        <c:ser>
          <c:idx val="0"/>
          <c:order val="0"/>
          <c:tx>
            <c:strRef>
              <c:f>Prognose!$A$5</c:f>
              <c:strCache>
                <c:ptCount val="1"/>
                <c:pt idx="0">
                  <c:v>Indtægter</c:v>
                </c:pt>
              </c:strCache>
            </c:strRef>
          </c:tx>
          <c:spPr>
            <a:ln w="12700">
              <a:solidFill>
                <a:srgbClr val="000090"/>
              </a:solidFill>
              <a:prstDash val="solid"/>
            </a:ln>
          </c:spPr>
          <c:marker>
            <c:symbol val="triangle"/>
            <c:size val="6"/>
            <c:spPr>
              <a:solidFill>
                <a:srgbClr val="000080"/>
              </a:solidFill>
              <a:ln>
                <a:solidFill>
                  <a:srgbClr val="000090"/>
                </a:solidFill>
                <a:prstDash val="solid"/>
              </a:ln>
            </c:spPr>
          </c:marker>
          <c:cat>
            <c:numRef>
              <c:f>Prognose!$B$4:$E$4</c:f>
              <c:numCache>
                <c:formatCode>General</c:formatCode>
                <c:ptCount val="4"/>
                <c:pt idx="0">
                  <c:v>2024</c:v>
                </c:pt>
                <c:pt idx="1">
                  <c:v>2025</c:v>
                </c:pt>
                <c:pt idx="2">
                  <c:v>2026</c:v>
                </c:pt>
                <c:pt idx="3">
                  <c:v>2027</c:v>
                </c:pt>
              </c:numCache>
            </c:numRef>
          </c:cat>
          <c:val>
            <c:numRef>
              <c:f>Prognose!$B$5:$E$5</c:f>
              <c:numCache>
                <c:formatCode>#,##0</c:formatCode>
                <c:ptCount val="4"/>
                <c:pt idx="0">
                  <c:v>0</c:v>
                </c:pt>
                <c:pt idx="1">
                  <c:v>0</c:v>
                </c:pt>
                <c:pt idx="2">
                  <c:v>135843</c:v>
                </c:pt>
                <c:pt idx="3">
                  <c:v>135843</c:v>
                </c:pt>
              </c:numCache>
            </c:numRef>
          </c:val>
          <c:smooth val="0"/>
          <c:extLst>
            <c:ext xmlns:c16="http://schemas.microsoft.com/office/drawing/2014/chart" uri="{C3380CC4-5D6E-409C-BE32-E72D297353CC}">
              <c16:uniqueId val="{00000000-B277-474D-A20A-F6573F4F7FF6}"/>
            </c:ext>
          </c:extLst>
        </c:ser>
        <c:ser>
          <c:idx val="1"/>
          <c:order val="1"/>
          <c:tx>
            <c:strRef>
              <c:f>Prognose!$A$6</c:f>
              <c:strCache>
                <c:ptCount val="1"/>
                <c:pt idx="0">
                  <c:v>Udgifter</c:v>
                </c:pt>
              </c:strCache>
            </c:strRef>
          </c:tx>
          <c:spPr>
            <a:ln w="12700">
              <a:solidFill>
                <a:srgbClr val="DD0806"/>
              </a:solidFill>
              <a:prstDash val="solid"/>
            </a:ln>
          </c:spPr>
          <c:marker>
            <c:symbol val="diamond"/>
            <c:size val="6"/>
            <c:spPr>
              <a:solidFill>
                <a:srgbClr val="FF0000"/>
              </a:solidFill>
              <a:ln>
                <a:solidFill>
                  <a:srgbClr val="DD0806"/>
                </a:solidFill>
                <a:prstDash val="solid"/>
              </a:ln>
            </c:spPr>
          </c:marker>
          <c:cat>
            <c:numRef>
              <c:f>Prognose!$B$4:$E$4</c:f>
              <c:numCache>
                <c:formatCode>General</c:formatCode>
                <c:ptCount val="4"/>
                <c:pt idx="0">
                  <c:v>2024</c:v>
                </c:pt>
                <c:pt idx="1">
                  <c:v>2025</c:v>
                </c:pt>
                <c:pt idx="2">
                  <c:v>2026</c:v>
                </c:pt>
                <c:pt idx="3">
                  <c:v>2027</c:v>
                </c:pt>
              </c:numCache>
            </c:numRef>
          </c:cat>
          <c:val>
            <c:numRef>
              <c:f>Prognose!$B$6:$E$6</c:f>
              <c:numCache>
                <c:formatCode>#,##0</c:formatCode>
                <c:ptCount val="4"/>
                <c:pt idx="0">
                  <c:v>0</c:v>
                </c:pt>
                <c:pt idx="1">
                  <c:v>0</c:v>
                </c:pt>
                <c:pt idx="2">
                  <c:v>9167</c:v>
                </c:pt>
                <c:pt idx="3">
                  <c:v>9304.5049999999992</c:v>
                </c:pt>
              </c:numCache>
            </c:numRef>
          </c:val>
          <c:smooth val="0"/>
          <c:extLst>
            <c:ext xmlns:c16="http://schemas.microsoft.com/office/drawing/2014/chart" uri="{C3380CC4-5D6E-409C-BE32-E72D297353CC}">
              <c16:uniqueId val="{00000001-B277-474D-A20A-F6573F4F7FF6}"/>
            </c:ext>
          </c:extLst>
        </c:ser>
        <c:ser>
          <c:idx val="2"/>
          <c:order val="2"/>
          <c:tx>
            <c:strRef>
              <c:f>Prognose!$A$7</c:f>
              <c:strCache>
                <c:ptCount val="1"/>
                <c:pt idx="0">
                  <c:v>Driftsresultat</c:v>
                </c:pt>
              </c:strCache>
            </c:strRef>
          </c:tx>
          <c:spPr>
            <a:ln w="12700">
              <a:solidFill>
                <a:srgbClr val="006411"/>
              </a:solidFill>
              <a:prstDash val="solid"/>
            </a:ln>
          </c:spPr>
          <c:marker>
            <c:symbol val="circle"/>
            <c:size val="6"/>
            <c:spPr>
              <a:solidFill>
                <a:srgbClr val="008000"/>
              </a:solidFill>
              <a:ln>
                <a:solidFill>
                  <a:srgbClr val="006411"/>
                </a:solidFill>
                <a:prstDash val="solid"/>
              </a:ln>
            </c:spPr>
          </c:marker>
          <c:cat>
            <c:numRef>
              <c:f>Prognose!$B$4:$E$4</c:f>
              <c:numCache>
                <c:formatCode>General</c:formatCode>
                <c:ptCount val="4"/>
                <c:pt idx="0">
                  <c:v>2024</c:v>
                </c:pt>
                <c:pt idx="1">
                  <c:v>2025</c:v>
                </c:pt>
                <c:pt idx="2">
                  <c:v>2026</c:v>
                </c:pt>
                <c:pt idx="3">
                  <c:v>2027</c:v>
                </c:pt>
              </c:numCache>
            </c:numRef>
          </c:cat>
          <c:val>
            <c:numRef>
              <c:f>Prognose!$B$7:$E$7</c:f>
              <c:numCache>
                <c:formatCode>#,##0</c:formatCode>
                <c:ptCount val="4"/>
                <c:pt idx="0">
                  <c:v>0</c:v>
                </c:pt>
                <c:pt idx="1">
                  <c:v>0</c:v>
                </c:pt>
                <c:pt idx="2">
                  <c:v>126676</c:v>
                </c:pt>
                <c:pt idx="3">
                  <c:v>126538.495</c:v>
                </c:pt>
              </c:numCache>
            </c:numRef>
          </c:val>
          <c:smooth val="0"/>
          <c:extLst>
            <c:ext xmlns:c16="http://schemas.microsoft.com/office/drawing/2014/chart" uri="{C3380CC4-5D6E-409C-BE32-E72D297353CC}">
              <c16:uniqueId val="{00000002-B277-474D-A20A-F6573F4F7FF6}"/>
            </c:ext>
          </c:extLst>
        </c:ser>
        <c:ser>
          <c:idx val="3"/>
          <c:order val="3"/>
          <c:tx>
            <c:strRef>
              <c:f>Prognose!$A$9</c:f>
              <c:strCache>
                <c:ptCount val="1"/>
                <c:pt idx="0">
                  <c:v>Elevtal</c:v>
                </c:pt>
              </c:strCache>
            </c:strRef>
          </c:tx>
          <c:spPr>
            <a:ln w="12700">
              <a:solidFill>
                <a:srgbClr val="00CCFF"/>
              </a:solidFill>
              <a:prstDash val="solid"/>
            </a:ln>
          </c:spPr>
          <c:marker>
            <c:symbol val="none"/>
          </c:marker>
          <c:cat>
            <c:numRef>
              <c:f>Prognose!$B$4:$E$4</c:f>
              <c:numCache>
                <c:formatCode>General</c:formatCode>
                <c:ptCount val="4"/>
                <c:pt idx="0">
                  <c:v>2024</c:v>
                </c:pt>
                <c:pt idx="1">
                  <c:v>2025</c:v>
                </c:pt>
                <c:pt idx="2">
                  <c:v>2026</c:v>
                </c:pt>
                <c:pt idx="3">
                  <c:v>2027</c:v>
                </c:pt>
              </c:numCache>
            </c:numRef>
          </c:cat>
          <c:val>
            <c:numRef>
              <c:f>Prognose!$B$9:$E$9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3-B277-474D-A20A-F6573F4F7FF6}"/>
            </c:ext>
          </c:extLst>
        </c:ser>
        <c:ser>
          <c:idx val="4"/>
          <c:order val="4"/>
          <c:tx>
            <c:strRef>
              <c:f>Prognose!$A$8</c:f>
              <c:strCache>
                <c:ptCount val="1"/>
                <c:pt idx="0">
                  <c:v>Likvider</c:v>
                </c:pt>
              </c:strCache>
            </c:strRef>
          </c:tx>
          <c:spPr>
            <a:ln w="12700">
              <a:solidFill>
                <a:srgbClr val="993366"/>
              </a:solidFill>
              <a:prstDash val="solid"/>
            </a:ln>
          </c:spPr>
          <c:marker>
            <c:symbol val="none"/>
          </c:marker>
          <c:cat>
            <c:numRef>
              <c:f>Prognose!$B$4:$E$4</c:f>
              <c:numCache>
                <c:formatCode>General</c:formatCode>
                <c:ptCount val="4"/>
                <c:pt idx="0">
                  <c:v>2024</c:v>
                </c:pt>
                <c:pt idx="1">
                  <c:v>2025</c:v>
                </c:pt>
                <c:pt idx="2">
                  <c:v>2026</c:v>
                </c:pt>
                <c:pt idx="3">
                  <c:v>2027</c:v>
                </c:pt>
              </c:numCache>
            </c:numRef>
          </c:cat>
          <c:val>
            <c:numRef>
              <c:f>Prognose!$B$8:$E$8</c:f>
              <c:numCache>
                <c:formatCode>#,##0</c:formatCode>
                <c:ptCount val="4"/>
                <c:pt idx="0">
                  <c:v>0</c:v>
                </c:pt>
                <c:pt idx="1">
                  <c:v>0</c:v>
                </c:pt>
                <c:pt idx="2">
                  <c:v>126676</c:v>
                </c:pt>
                <c:pt idx="3">
                  <c:v>253214.495</c:v>
                </c:pt>
              </c:numCache>
            </c:numRef>
          </c:val>
          <c:smooth val="0"/>
          <c:extLst>
            <c:ext xmlns:c16="http://schemas.microsoft.com/office/drawing/2014/chart" uri="{C3380CC4-5D6E-409C-BE32-E72D297353CC}">
              <c16:uniqueId val="{00000004-B277-474D-A20A-F6573F4F7FF6}"/>
            </c:ext>
          </c:extLst>
        </c:ser>
        <c:dLbls>
          <c:showLegendKey val="0"/>
          <c:showVal val="0"/>
          <c:showCatName val="0"/>
          <c:showSerName val="0"/>
          <c:showPercent val="0"/>
          <c:showBubbleSize val="0"/>
        </c:dLbls>
        <c:marker val="1"/>
        <c:smooth val="0"/>
        <c:axId val="180325376"/>
        <c:axId val="180339456"/>
      </c:lineChart>
      <c:catAx>
        <c:axId val="180325376"/>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800" b="0" i="0" u="none" strike="noStrike" baseline="0">
                <a:solidFill>
                  <a:srgbClr val="000000"/>
                </a:solidFill>
                <a:latin typeface="Geneva"/>
                <a:ea typeface="Geneva"/>
                <a:cs typeface="Geneva"/>
              </a:defRPr>
            </a:pPr>
            <a:endParaRPr lang="da-DK"/>
          </a:p>
        </c:txPr>
        <c:crossAx val="180339456"/>
        <c:crosses val="autoZero"/>
        <c:auto val="1"/>
        <c:lblAlgn val="ctr"/>
        <c:lblOffset val="100"/>
        <c:tickLblSkip val="1"/>
        <c:tickMarkSkip val="1"/>
        <c:noMultiLvlLbl val="0"/>
      </c:catAx>
      <c:valAx>
        <c:axId val="180339456"/>
        <c:scaling>
          <c:orientation val="minMax"/>
        </c:scaling>
        <c:delete val="0"/>
        <c:axPos val="l"/>
        <c:majorGridlines>
          <c:spPr>
            <a:ln w="3175">
              <a:solidFill>
                <a:srgbClr val="000000"/>
              </a:solidFill>
              <a:prstDash val="solid"/>
            </a:ln>
          </c:spPr>
        </c:majorGridlines>
        <c:numFmt formatCode="#,##0" sourceLinked="1"/>
        <c:majorTickMark val="out"/>
        <c:minorTickMark val="none"/>
        <c:tickLblPos val="low"/>
        <c:spPr>
          <a:ln w="3175">
            <a:solidFill>
              <a:srgbClr val="000000"/>
            </a:solidFill>
            <a:prstDash val="solid"/>
          </a:ln>
        </c:spPr>
        <c:txPr>
          <a:bodyPr rot="0" vert="horz"/>
          <a:lstStyle/>
          <a:p>
            <a:pPr>
              <a:defRPr sz="800" b="0" i="0" u="none" strike="noStrike" baseline="0">
                <a:solidFill>
                  <a:srgbClr val="000000"/>
                </a:solidFill>
                <a:latin typeface="Geneva"/>
                <a:ea typeface="Geneva"/>
                <a:cs typeface="Geneva"/>
              </a:defRPr>
            </a:pPr>
            <a:endParaRPr lang="da-DK"/>
          </a:p>
        </c:txPr>
        <c:crossAx val="180325376"/>
        <c:crosses val="autoZero"/>
        <c:crossBetween val="between"/>
      </c:valAx>
      <c:spPr>
        <a:solidFill>
          <a:srgbClr val="C0C0C0"/>
        </a:solidFill>
        <a:ln w="12700">
          <a:solidFill>
            <a:srgbClr val="808080"/>
          </a:solidFill>
          <a:prstDash val="solid"/>
        </a:ln>
      </c:spPr>
    </c:plotArea>
    <c:legend>
      <c:legendPos val="r"/>
      <c:layout>
        <c:manualLayout>
          <c:xMode val="edge"/>
          <c:yMode val="edge"/>
          <c:x val="0.71044881120065295"/>
          <c:y val="0.62953072042465297"/>
          <c:w val="0.14984238669594302"/>
          <c:h val="0.192612385353605"/>
        </c:manualLayout>
      </c:layout>
      <c:overlay val="0"/>
      <c:spPr>
        <a:solidFill>
          <a:srgbClr val="FFFFFF"/>
        </a:solidFill>
        <a:ln w="3175">
          <a:solidFill>
            <a:srgbClr val="000000"/>
          </a:solidFill>
          <a:prstDash val="solid"/>
        </a:ln>
      </c:spPr>
      <c:txPr>
        <a:bodyPr/>
        <a:lstStyle/>
        <a:p>
          <a:pPr>
            <a:defRPr sz="490" b="0" i="0" u="none" strike="noStrike" baseline="0">
              <a:solidFill>
                <a:srgbClr val="000000"/>
              </a:solidFill>
              <a:latin typeface="Geneva"/>
              <a:ea typeface="Geneva"/>
              <a:cs typeface="Geneva"/>
            </a:defRPr>
          </a:pPr>
          <a:endParaRPr lang="da-DK"/>
        </a:p>
      </c:txPr>
    </c:legend>
    <c:plotVisOnly val="0"/>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da-DK"/>
    </a:p>
  </c:txPr>
  <c:printSettings>
    <c:headerFooter alignWithMargins="0"/>
    <c:pageMargins b="1" l="0.75000000000000211" r="0.75000000000000211" t="1" header="0.51180555555555807" footer="0.51180555555555807"/>
    <c:pageSetup firstPageNumber="0"/>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Hovedskema!A1"/><Relationship Id="rId2" Type="http://schemas.openxmlformats.org/officeDocument/2006/relationships/image" Target="../media/image1.png"/><Relationship Id="rId1" Type="http://schemas.openxmlformats.org/officeDocument/2006/relationships/hyperlink" Target="#elevprognose"/><Relationship Id="rId4" Type="http://schemas.openxmlformats.org/officeDocument/2006/relationships/image" Target="../media/image2.png"/></Relationships>
</file>

<file path=xl/drawings/_rels/drawing10.xml.rels><?xml version="1.0" encoding="UTF-8" standalone="yes"?>
<Relationships xmlns="http://schemas.openxmlformats.org/package/2006/relationships"><Relationship Id="rId3" Type="http://schemas.openxmlformats.org/officeDocument/2006/relationships/hyperlink" Target="#elevprognose"/><Relationship Id="rId2" Type="http://schemas.openxmlformats.org/officeDocument/2006/relationships/image" Target="../media/image2.png"/><Relationship Id="rId1" Type="http://schemas.openxmlformats.org/officeDocument/2006/relationships/hyperlink" Target="#Hovedskema!A1"/><Relationship Id="rId4" Type="http://schemas.openxmlformats.org/officeDocument/2006/relationships/image" Target="../media/image1.png"/></Relationships>
</file>

<file path=xl/drawings/_rels/drawing11.xml.rels><?xml version="1.0" encoding="UTF-8" standalone="yes"?>
<Relationships xmlns="http://schemas.openxmlformats.org/package/2006/relationships"><Relationship Id="rId3" Type="http://schemas.openxmlformats.org/officeDocument/2006/relationships/hyperlink" Target="#elevprognose"/><Relationship Id="rId2" Type="http://schemas.openxmlformats.org/officeDocument/2006/relationships/image" Target="../media/image2.png"/><Relationship Id="rId1" Type="http://schemas.openxmlformats.org/officeDocument/2006/relationships/hyperlink" Target="#Hovedskema!A1"/><Relationship Id="rId4" Type="http://schemas.openxmlformats.org/officeDocument/2006/relationships/image" Target="../media/image1.png"/></Relationships>
</file>

<file path=xl/drawings/_rels/drawing12.xml.rels><?xml version="1.0" encoding="UTF-8" standalone="yes"?>
<Relationships xmlns="http://schemas.openxmlformats.org/package/2006/relationships"><Relationship Id="rId3" Type="http://schemas.openxmlformats.org/officeDocument/2006/relationships/hyperlink" Target="#Hovedskema!A1"/><Relationship Id="rId2" Type="http://schemas.openxmlformats.org/officeDocument/2006/relationships/image" Target="../media/image1.png"/><Relationship Id="rId1" Type="http://schemas.openxmlformats.org/officeDocument/2006/relationships/hyperlink" Target="#elevprognose"/><Relationship Id="rId4" Type="http://schemas.openxmlformats.org/officeDocument/2006/relationships/image" Target="../media/image2.png"/></Relationships>
</file>

<file path=xl/drawings/_rels/drawing13.xml.rels><?xml version="1.0" encoding="UTF-8" standalone="yes"?>
<Relationships xmlns="http://schemas.openxmlformats.org/package/2006/relationships"><Relationship Id="rId3" Type="http://schemas.openxmlformats.org/officeDocument/2006/relationships/hyperlink" Target="#elevprognose"/><Relationship Id="rId2" Type="http://schemas.openxmlformats.org/officeDocument/2006/relationships/image" Target="../media/image2.png"/><Relationship Id="rId1" Type="http://schemas.openxmlformats.org/officeDocument/2006/relationships/hyperlink" Target="#Hovedskema!A1"/><Relationship Id="rId4" Type="http://schemas.openxmlformats.org/officeDocument/2006/relationships/image" Target="../media/image1.png"/></Relationships>
</file>

<file path=xl/drawings/_rels/drawing14.xml.rels><?xml version="1.0" encoding="UTF-8" standalone="yes"?>
<Relationships xmlns="http://schemas.openxmlformats.org/package/2006/relationships"><Relationship Id="rId8" Type="http://schemas.openxmlformats.org/officeDocument/2006/relationships/image" Target="../media/image8.jpeg"/><Relationship Id="rId3" Type="http://schemas.openxmlformats.org/officeDocument/2006/relationships/hyperlink" Target="#elev0o"/><Relationship Id="rId7" Type="http://schemas.openxmlformats.org/officeDocument/2006/relationships/hyperlink" Target="Noter.xlsx" TargetMode="External"/><Relationship Id="rId2" Type="http://schemas.openxmlformats.org/officeDocument/2006/relationships/image" Target="../media/image5.jpeg"/><Relationship Id="rId1" Type="http://schemas.openxmlformats.org/officeDocument/2006/relationships/hyperlink" Target="#'Resultat '!A1"/><Relationship Id="rId6" Type="http://schemas.openxmlformats.org/officeDocument/2006/relationships/image" Target="../media/image7.jpeg"/><Relationship Id="rId5" Type="http://schemas.openxmlformats.org/officeDocument/2006/relationships/hyperlink" Target="#Hovedskema!A1"/><Relationship Id="rId4" Type="http://schemas.openxmlformats.org/officeDocument/2006/relationships/image" Target="../media/image6.jpeg"/></Relationships>
</file>

<file path=xl/drawings/_rels/drawing15.xml.rels><?xml version="1.0" encoding="UTF-8" standalone="yes"?>
<Relationships xmlns="http://schemas.openxmlformats.org/package/2006/relationships"><Relationship Id="rId3" Type="http://schemas.openxmlformats.org/officeDocument/2006/relationships/hyperlink" Target="#elev0o"/><Relationship Id="rId7" Type="http://schemas.openxmlformats.org/officeDocument/2006/relationships/hyperlink" Target="#elevprognose"/><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7.jpeg"/><Relationship Id="rId5" Type="http://schemas.openxmlformats.org/officeDocument/2006/relationships/hyperlink" Target="#Hovedskema!A1"/><Relationship Id="rId4" Type="http://schemas.openxmlformats.org/officeDocument/2006/relationships/image" Target="../media/image6.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9.png"/></Relationships>
</file>

<file path=xl/drawings/_rels/drawing2.xml.rels><?xml version="1.0" encoding="UTF-8" standalone="yes"?>
<Relationships xmlns="http://schemas.openxmlformats.org/package/2006/relationships"><Relationship Id="rId13" Type="http://schemas.openxmlformats.org/officeDocument/2006/relationships/hyperlink" Target="#Ejendom!A36"/><Relationship Id="rId18" Type="http://schemas.openxmlformats.org/officeDocument/2006/relationships/hyperlink" Target="#Administration!A132"/><Relationship Id="rId26" Type="http://schemas.openxmlformats.org/officeDocument/2006/relationships/hyperlink" Target="#'Lon p&#230;d., TAP mm'!BN1"/><Relationship Id="rId39" Type="http://schemas.openxmlformats.org/officeDocument/2006/relationships/hyperlink" Target="#'Lon p&#230;d., TAP mm'!V60"/><Relationship Id="rId21" Type="http://schemas.openxmlformats.org/officeDocument/2006/relationships/hyperlink" Target="#Statstilskud!A47"/><Relationship Id="rId34" Type="http://schemas.openxmlformats.org/officeDocument/2006/relationships/hyperlink" Target="#Administration!A133"/><Relationship Id="rId42" Type="http://schemas.openxmlformats.org/officeDocument/2006/relationships/hyperlink" Target="#'Lon p&#230;d., TAP mm'!AJ5"/><Relationship Id="rId47" Type="http://schemas.openxmlformats.org/officeDocument/2006/relationships/hyperlink" Target="#'Heltids SFO'!A1"/><Relationship Id="rId50" Type="http://schemas.openxmlformats.org/officeDocument/2006/relationships/hyperlink" Target="#'Skolepenge, pasningsordning.'!A104"/><Relationship Id="rId7" Type="http://schemas.openxmlformats.org/officeDocument/2006/relationships/hyperlink" Target="#'Skolepenge, pasningsordning.'!A29"/><Relationship Id="rId2" Type="http://schemas.openxmlformats.org/officeDocument/2006/relationships/image" Target="../media/image1.png"/><Relationship Id="rId16" Type="http://schemas.openxmlformats.org/officeDocument/2006/relationships/hyperlink" Target="#'Lon p&#230;d., TAP mm'!BH60"/><Relationship Id="rId29" Type="http://schemas.openxmlformats.org/officeDocument/2006/relationships/hyperlink" Target="#Ejendom!A67"/><Relationship Id="rId11" Type="http://schemas.openxmlformats.org/officeDocument/2006/relationships/hyperlink" Target="#'Undervisning-SFO udgifter'!A4"/><Relationship Id="rId24" Type="http://schemas.openxmlformats.org/officeDocument/2006/relationships/hyperlink" Target="#'Lon p&#230;d., TAP mm'!C5"/><Relationship Id="rId32" Type="http://schemas.openxmlformats.org/officeDocument/2006/relationships/hyperlink" Target="#'Lon p&#230;d., TAP mm'!A1"/><Relationship Id="rId37" Type="http://schemas.openxmlformats.org/officeDocument/2006/relationships/hyperlink" Target="#Administration!A150"/><Relationship Id="rId40" Type="http://schemas.openxmlformats.org/officeDocument/2006/relationships/hyperlink" Target="#'Heltids SFO'!A30"/><Relationship Id="rId45" Type="http://schemas.openxmlformats.org/officeDocument/2006/relationships/hyperlink" Target="#'Skolepenge, pasningsordning.'!A58"/><Relationship Id="rId53" Type="http://schemas.openxmlformats.org/officeDocument/2006/relationships/hyperlink" Target="#'Lon p&#230;d., TAP mm'!CA60"/><Relationship Id="rId5" Type="http://schemas.openxmlformats.org/officeDocument/2006/relationships/hyperlink" Target="#Statstilskud!A1"/><Relationship Id="rId10" Type="http://schemas.openxmlformats.org/officeDocument/2006/relationships/hyperlink" Target="#Daginstitution!A1"/><Relationship Id="rId19" Type="http://schemas.openxmlformats.org/officeDocument/2006/relationships/hyperlink" Target="#Administration!A143"/><Relationship Id="rId31" Type="http://schemas.openxmlformats.org/officeDocument/2006/relationships/hyperlink" Target="#Ejendom!A91"/><Relationship Id="rId44" Type="http://schemas.openxmlformats.org/officeDocument/2006/relationships/hyperlink" Target="#'Skolepenge, pasningsordning.'!A85"/><Relationship Id="rId52" Type="http://schemas.openxmlformats.org/officeDocument/2006/relationships/hyperlink" Target="#'Lon p&#230;d., TAP mm'!BH1"/><Relationship Id="rId4" Type="http://schemas.openxmlformats.org/officeDocument/2006/relationships/image" Target="../media/image2.png"/><Relationship Id="rId9" Type="http://schemas.openxmlformats.org/officeDocument/2006/relationships/hyperlink" Target="#'Lon p&#230;d., TAP mm'!AB5"/><Relationship Id="rId14" Type="http://schemas.openxmlformats.org/officeDocument/2006/relationships/hyperlink" Target="#'Lon p&#230;d., TAP mm'!CA1"/><Relationship Id="rId22" Type="http://schemas.openxmlformats.org/officeDocument/2006/relationships/hyperlink" Target="#'Skolepenge, pasningsordning.'!A1"/><Relationship Id="rId27" Type="http://schemas.openxmlformats.org/officeDocument/2006/relationships/hyperlink" Target="#Ejendom!A1"/><Relationship Id="rId30" Type="http://schemas.openxmlformats.org/officeDocument/2006/relationships/hyperlink" Target="#Ejendom!A58"/><Relationship Id="rId35" Type="http://schemas.openxmlformats.org/officeDocument/2006/relationships/hyperlink" Target="#'Prio-renter'!A1"/><Relationship Id="rId43" Type="http://schemas.openxmlformats.org/officeDocument/2006/relationships/hyperlink" Target="#'Lon p&#230;d., TAP mm'!AJ60"/><Relationship Id="rId48" Type="http://schemas.openxmlformats.org/officeDocument/2006/relationships/hyperlink" Target="#'Skolepenge, pasningsordning.'!H86"/><Relationship Id="rId8" Type="http://schemas.openxmlformats.org/officeDocument/2006/relationships/hyperlink" Target="#'lon undervisning'!A60"/><Relationship Id="rId51" Type="http://schemas.openxmlformats.org/officeDocument/2006/relationships/hyperlink" Target="#Daginstitution!A69"/><Relationship Id="rId3" Type="http://schemas.openxmlformats.org/officeDocument/2006/relationships/hyperlink" Target="#Hovedskema!A1"/><Relationship Id="rId12" Type="http://schemas.openxmlformats.org/officeDocument/2006/relationships/hyperlink" Target="#'Lon p&#230;d., TAP mm'!BN60"/><Relationship Id="rId17" Type="http://schemas.openxmlformats.org/officeDocument/2006/relationships/hyperlink" Target="#Administration!A1"/><Relationship Id="rId25" Type="http://schemas.openxmlformats.org/officeDocument/2006/relationships/hyperlink" Target="#Undervisningsudg.!A1"/><Relationship Id="rId33" Type="http://schemas.openxmlformats.org/officeDocument/2006/relationships/hyperlink" Target="#Administration!E103"/><Relationship Id="rId38" Type="http://schemas.openxmlformats.org/officeDocument/2006/relationships/hyperlink" Target="#'Lon p&#230;d., TAP mm'!C60"/><Relationship Id="rId46" Type="http://schemas.openxmlformats.org/officeDocument/2006/relationships/hyperlink" Target="#Daginstitution!A35"/><Relationship Id="rId20" Type="http://schemas.openxmlformats.org/officeDocument/2006/relationships/hyperlink" Target="#Administration!F136"/><Relationship Id="rId41" Type="http://schemas.openxmlformats.org/officeDocument/2006/relationships/hyperlink" Target="#'Undervisning-SFO udgifter'!A108"/><Relationship Id="rId54" Type="http://schemas.openxmlformats.org/officeDocument/2006/relationships/hyperlink" Target="#Administration!A108"/><Relationship Id="rId1" Type="http://schemas.openxmlformats.org/officeDocument/2006/relationships/hyperlink" Target="#Elevprognose"/><Relationship Id="rId6" Type="http://schemas.openxmlformats.org/officeDocument/2006/relationships/image" Target="../media/image4.jpeg"/><Relationship Id="rId15" Type="http://schemas.openxmlformats.org/officeDocument/2006/relationships/hyperlink" Target="#Skolemadsordning!A1"/><Relationship Id="rId23" Type="http://schemas.openxmlformats.org/officeDocument/2006/relationships/hyperlink" Target="#'lon undervisning'!A1"/><Relationship Id="rId28" Type="http://schemas.openxmlformats.org/officeDocument/2006/relationships/hyperlink" Target="#Ejendom!A20"/><Relationship Id="rId36" Type="http://schemas.openxmlformats.org/officeDocument/2006/relationships/hyperlink" Target="#Administration!F143"/><Relationship Id="rId49" Type="http://schemas.openxmlformats.org/officeDocument/2006/relationships/hyperlink" Target="#'Skolepenge, pasningsordning.'!A105"/></Relationships>
</file>

<file path=xl/drawings/_rels/drawing3.xml.rels><?xml version="1.0" encoding="UTF-8" standalone="yes"?>
<Relationships xmlns="http://schemas.openxmlformats.org/package/2006/relationships"><Relationship Id="rId3" Type="http://schemas.openxmlformats.org/officeDocument/2006/relationships/hyperlink" Target="#Hovedskema!A1"/><Relationship Id="rId2" Type="http://schemas.openxmlformats.org/officeDocument/2006/relationships/image" Target="../media/image1.png"/><Relationship Id="rId1" Type="http://schemas.openxmlformats.org/officeDocument/2006/relationships/hyperlink" Target="#elevprognose"/><Relationship Id="rId4"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hyperlink" Target="#elevprognose"/><Relationship Id="rId2" Type="http://schemas.openxmlformats.org/officeDocument/2006/relationships/image" Target="../media/image2.png"/><Relationship Id="rId1" Type="http://schemas.openxmlformats.org/officeDocument/2006/relationships/hyperlink" Target="#Hovedskema!A1"/><Relationship Id="rId4"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hyperlink" Target="#elevprognose"/><Relationship Id="rId2" Type="http://schemas.openxmlformats.org/officeDocument/2006/relationships/image" Target="../media/image2.png"/><Relationship Id="rId1" Type="http://schemas.openxmlformats.org/officeDocument/2006/relationships/hyperlink" Target="#Hovedskema!A1"/><Relationship Id="rId4"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hyperlink" Target="#elevprognose"/><Relationship Id="rId2" Type="http://schemas.openxmlformats.org/officeDocument/2006/relationships/image" Target="../media/image2.png"/><Relationship Id="rId1" Type="http://schemas.openxmlformats.org/officeDocument/2006/relationships/hyperlink" Target="#Hovedskema!A1"/><Relationship Id="rId4"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hyperlink" Target="#elevprognose"/><Relationship Id="rId2" Type="http://schemas.openxmlformats.org/officeDocument/2006/relationships/image" Target="../media/image2.png"/><Relationship Id="rId1" Type="http://schemas.openxmlformats.org/officeDocument/2006/relationships/hyperlink" Target="#Hovedskema!A1"/><Relationship Id="rId4"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hyperlink" Target="#elevprognose"/><Relationship Id="rId2" Type="http://schemas.openxmlformats.org/officeDocument/2006/relationships/image" Target="../media/image2.png"/><Relationship Id="rId1" Type="http://schemas.openxmlformats.org/officeDocument/2006/relationships/hyperlink" Target="#Hovedskema!A1"/><Relationship Id="rId4"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hyperlink" Target="#elevprognose"/><Relationship Id="rId2" Type="http://schemas.openxmlformats.org/officeDocument/2006/relationships/image" Target="../media/image2.png"/><Relationship Id="rId1" Type="http://schemas.openxmlformats.org/officeDocument/2006/relationships/hyperlink" Target="#Hovedskema!A1"/><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1850546</xdr:colOff>
      <xdr:row>0</xdr:row>
      <xdr:rowOff>9525</xdr:rowOff>
    </xdr:from>
    <xdr:to>
      <xdr:col>4</xdr:col>
      <xdr:colOff>641829</xdr:colOff>
      <xdr:row>0</xdr:row>
      <xdr:rowOff>300634</xdr:rowOff>
    </xdr:to>
    <xdr:pic>
      <xdr:nvPicPr>
        <xdr:cNvPr id="5" name="Billede 4">
          <a:hlinkClick xmlns:r="http://schemas.openxmlformats.org/officeDocument/2006/relationships" r:id="rId1"/>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rcRect/>
        <a:stretch/>
      </xdr:blipFill>
      <xdr:spPr>
        <a:xfrm>
          <a:off x="3410832" y="9525"/>
          <a:ext cx="1802997" cy="291109"/>
        </a:xfrm>
        <a:prstGeom prst="rect">
          <a:avLst/>
        </a:prstGeom>
      </xdr:spPr>
    </xdr:pic>
    <xdr:clientData/>
  </xdr:twoCellAnchor>
  <xdr:twoCellAnchor editAs="oneCell">
    <xdr:from>
      <xdr:col>1</xdr:col>
      <xdr:colOff>416994</xdr:colOff>
      <xdr:row>0</xdr:row>
      <xdr:rowOff>28575</xdr:rowOff>
    </xdr:from>
    <xdr:to>
      <xdr:col>2</xdr:col>
      <xdr:colOff>1449905</xdr:colOff>
      <xdr:row>0</xdr:row>
      <xdr:rowOff>301629</xdr:rowOff>
    </xdr:to>
    <xdr:pic>
      <xdr:nvPicPr>
        <xdr:cNvPr id="6" name="Billede 5">
          <a:hlinkClick xmlns:r="http://schemas.openxmlformats.org/officeDocument/2006/relationships" r:id="rId3"/>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4"/>
        <a:srcRect/>
        <a:stretch/>
      </xdr:blipFill>
      <xdr:spPr>
        <a:xfrm>
          <a:off x="1460208" y="28575"/>
          <a:ext cx="1549983" cy="273054"/>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185446</xdr:colOff>
      <xdr:row>0</xdr:row>
      <xdr:rowOff>28575</xdr:rowOff>
    </xdr:from>
    <xdr:to>
      <xdr:col>2</xdr:col>
      <xdr:colOff>757529</xdr:colOff>
      <xdr:row>0</xdr:row>
      <xdr:rowOff>301629</xdr:rowOff>
    </xdr:to>
    <xdr:pic>
      <xdr:nvPicPr>
        <xdr:cNvPr id="46" name="Billede 45">
          <a:hlinkClick xmlns:r="http://schemas.openxmlformats.org/officeDocument/2006/relationships" r:id="rId1"/>
          <a:extLst>
            <a:ext uri="{FF2B5EF4-FFF2-40B4-BE49-F238E27FC236}">
              <a16:creationId xmlns:a16="http://schemas.microsoft.com/office/drawing/2014/main" id="{00000000-0008-0000-0C00-00002E000000}"/>
            </a:ext>
          </a:extLst>
        </xdr:cNvPr>
        <xdr:cNvPicPr>
          <a:picLocks noChangeAspect="1"/>
        </xdr:cNvPicPr>
      </xdr:nvPicPr>
      <xdr:blipFill>
        <a:blip xmlns:r="http://schemas.openxmlformats.org/officeDocument/2006/relationships" r:embed="rId2"/>
        <a:srcRect/>
        <a:stretch/>
      </xdr:blipFill>
      <xdr:spPr>
        <a:xfrm>
          <a:off x="185446" y="28575"/>
          <a:ext cx="1549983" cy="273054"/>
        </a:xfrm>
        <a:prstGeom prst="rect">
          <a:avLst/>
        </a:prstGeom>
      </xdr:spPr>
    </xdr:pic>
    <xdr:clientData/>
  </xdr:twoCellAnchor>
  <xdr:twoCellAnchor editAs="oneCell">
    <xdr:from>
      <xdr:col>2</xdr:col>
      <xdr:colOff>2005214</xdr:colOff>
      <xdr:row>0</xdr:row>
      <xdr:rowOff>9525</xdr:rowOff>
    </xdr:from>
    <xdr:to>
      <xdr:col>2</xdr:col>
      <xdr:colOff>3560561</xdr:colOff>
      <xdr:row>0</xdr:row>
      <xdr:rowOff>300634</xdr:rowOff>
    </xdr:to>
    <xdr:pic>
      <xdr:nvPicPr>
        <xdr:cNvPr id="25" name="Billede 24">
          <a:hlinkClick xmlns:r="http://schemas.openxmlformats.org/officeDocument/2006/relationships" r:id="rId3"/>
          <a:extLst>
            <a:ext uri="{FF2B5EF4-FFF2-40B4-BE49-F238E27FC236}">
              <a16:creationId xmlns:a16="http://schemas.microsoft.com/office/drawing/2014/main" id="{00000000-0008-0000-0C00-000019000000}"/>
            </a:ext>
          </a:extLst>
        </xdr:cNvPr>
        <xdr:cNvPicPr>
          <a:picLocks noChangeAspect="1"/>
        </xdr:cNvPicPr>
      </xdr:nvPicPr>
      <xdr:blipFill>
        <a:blip xmlns:r="http://schemas.openxmlformats.org/officeDocument/2006/relationships" r:embed="rId4"/>
        <a:srcRect/>
        <a:stretch/>
      </xdr:blipFill>
      <xdr:spPr>
        <a:xfrm>
          <a:off x="2983114" y="9525"/>
          <a:ext cx="1802997" cy="291109"/>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234658</xdr:colOff>
      <xdr:row>0</xdr:row>
      <xdr:rowOff>28575</xdr:rowOff>
    </xdr:from>
    <xdr:to>
      <xdr:col>2</xdr:col>
      <xdr:colOff>743241</xdr:colOff>
      <xdr:row>0</xdr:row>
      <xdr:rowOff>301629</xdr:rowOff>
    </xdr:to>
    <xdr:pic>
      <xdr:nvPicPr>
        <xdr:cNvPr id="10" name="Billede 9">
          <a:hlinkClick xmlns:r="http://schemas.openxmlformats.org/officeDocument/2006/relationships" r:id="rId1"/>
          <a:extLst>
            <a:ext uri="{FF2B5EF4-FFF2-40B4-BE49-F238E27FC236}">
              <a16:creationId xmlns:a16="http://schemas.microsoft.com/office/drawing/2014/main" id="{00000000-0008-0000-0D00-00000A000000}"/>
            </a:ext>
          </a:extLst>
        </xdr:cNvPr>
        <xdr:cNvPicPr>
          <a:picLocks noChangeAspect="1"/>
        </xdr:cNvPicPr>
      </xdr:nvPicPr>
      <xdr:blipFill>
        <a:blip xmlns:r="http://schemas.openxmlformats.org/officeDocument/2006/relationships" r:embed="rId2"/>
        <a:srcRect/>
        <a:stretch/>
      </xdr:blipFill>
      <xdr:spPr>
        <a:xfrm>
          <a:off x="234658" y="28575"/>
          <a:ext cx="1549983" cy="273054"/>
        </a:xfrm>
        <a:prstGeom prst="rect">
          <a:avLst/>
        </a:prstGeom>
      </xdr:spPr>
    </xdr:pic>
    <xdr:clientData/>
  </xdr:twoCellAnchor>
  <xdr:twoCellAnchor editAs="oneCell">
    <xdr:from>
      <xdr:col>2</xdr:col>
      <xdr:colOff>1699593</xdr:colOff>
      <xdr:row>0</xdr:row>
      <xdr:rowOff>9525</xdr:rowOff>
    </xdr:from>
    <xdr:to>
      <xdr:col>3</xdr:col>
      <xdr:colOff>2206</xdr:colOff>
      <xdr:row>0</xdr:row>
      <xdr:rowOff>309101</xdr:rowOff>
    </xdr:to>
    <xdr:pic>
      <xdr:nvPicPr>
        <xdr:cNvPr id="15" name="Billede 14">
          <a:hlinkClick xmlns:r="http://schemas.openxmlformats.org/officeDocument/2006/relationships" r:id="rId3"/>
          <a:extLst>
            <a:ext uri="{FF2B5EF4-FFF2-40B4-BE49-F238E27FC236}">
              <a16:creationId xmlns:a16="http://schemas.microsoft.com/office/drawing/2014/main" id="{C96D1492-F343-3644-8B9F-4652915D29F2}"/>
            </a:ext>
          </a:extLst>
        </xdr:cNvPr>
        <xdr:cNvPicPr>
          <a:picLocks noChangeAspect="1"/>
        </xdr:cNvPicPr>
      </xdr:nvPicPr>
      <xdr:blipFill>
        <a:blip xmlns:r="http://schemas.openxmlformats.org/officeDocument/2006/relationships" r:embed="rId4"/>
        <a:srcRect/>
        <a:stretch/>
      </xdr:blipFill>
      <xdr:spPr>
        <a:xfrm>
          <a:off x="2740993" y="9525"/>
          <a:ext cx="1855438" cy="29957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162893</xdr:colOff>
      <xdr:row>0</xdr:row>
      <xdr:rowOff>9525</xdr:rowOff>
    </xdr:from>
    <xdr:to>
      <xdr:col>2</xdr:col>
      <xdr:colOff>1332531</xdr:colOff>
      <xdr:row>1</xdr:row>
      <xdr:rowOff>4301</xdr:rowOff>
    </xdr:to>
    <xdr:pic>
      <xdr:nvPicPr>
        <xdr:cNvPr id="32" name="Billede 31">
          <a:hlinkClick xmlns:r="http://schemas.openxmlformats.org/officeDocument/2006/relationships" r:id="rId1"/>
          <a:extLst>
            <a:ext uri="{FF2B5EF4-FFF2-40B4-BE49-F238E27FC236}">
              <a16:creationId xmlns:a16="http://schemas.microsoft.com/office/drawing/2014/main" id="{00000000-0008-0000-0E00-000020000000}"/>
            </a:ext>
          </a:extLst>
        </xdr:cNvPr>
        <xdr:cNvPicPr>
          <a:picLocks noChangeAspect="1"/>
        </xdr:cNvPicPr>
      </xdr:nvPicPr>
      <xdr:blipFill>
        <a:blip xmlns:r="http://schemas.openxmlformats.org/officeDocument/2006/relationships" r:embed="rId2"/>
        <a:srcRect/>
        <a:stretch/>
      </xdr:blipFill>
      <xdr:spPr>
        <a:xfrm>
          <a:off x="556593" y="9525"/>
          <a:ext cx="1855438" cy="299576"/>
        </a:xfrm>
        <a:prstGeom prst="rect">
          <a:avLst/>
        </a:prstGeom>
      </xdr:spPr>
    </xdr:pic>
    <xdr:clientData/>
  </xdr:twoCellAnchor>
  <xdr:twoCellAnchor editAs="oneCell">
    <xdr:from>
      <xdr:col>3</xdr:col>
      <xdr:colOff>234177</xdr:colOff>
      <xdr:row>0</xdr:row>
      <xdr:rowOff>0</xdr:rowOff>
    </xdr:from>
    <xdr:to>
      <xdr:col>4</xdr:col>
      <xdr:colOff>641160</xdr:colOff>
      <xdr:row>0</xdr:row>
      <xdr:rowOff>273054</xdr:rowOff>
    </xdr:to>
    <xdr:pic>
      <xdr:nvPicPr>
        <xdr:cNvPr id="35" name="Billede 34">
          <a:hlinkClick xmlns:r="http://schemas.openxmlformats.org/officeDocument/2006/relationships" r:id="rId3"/>
          <a:extLst>
            <a:ext uri="{FF2B5EF4-FFF2-40B4-BE49-F238E27FC236}">
              <a16:creationId xmlns:a16="http://schemas.microsoft.com/office/drawing/2014/main" id="{161D117F-8D39-7545-BA5F-DF9D69637A8F}"/>
            </a:ext>
          </a:extLst>
        </xdr:cNvPr>
        <xdr:cNvPicPr>
          <a:picLocks noChangeAspect="1"/>
        </xdr:cNvPicPr>
      </xdr:nvPicPr>
      <xdr:blipFill>
        <a:blip xmlns:r="http://schemas.openxmlformats.org/officeDocument/2006/relationships" r:embed="rId4"/>
        <a:srcRect/>
        <a:stretch/>
      </xdr:blipFill>
      <xdr:spPr>
        <a:xfrm>
          <a:off x="5009377" y="0"/>
          <a:ext cx="1549983" cy="273054"/>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17171</xdr:colOff>
      <xdr:row>0</xdr:row>
      <xdr:rowOff>28575</xdr:rowOff>
    </xdr:from>
    <xdr:to>
      <xdr:col>2</xdr:col>
      <xdr:colOff>601954</xdr:colOff>
      <xdr:row>0</xdr:row>
      <xdr:rowOff>301629</xdr:rowOff>
    </xdr:to>
    <xdr:pic>
      <xdr:nvPicPr>
        <xdr:cNvPr id="9" name="Billede 8">
          <a:hlinkClick xmlns:r="http://schemas.openxmlformats.org/officeDocument/2006/relationships" r:id="rId1"/>
          <a:extLst>
            <a:ext uri="{FF2B5EF4-FFF2-40B4-BE49-F238E27FC236}">
              <a16:creationId xmlns:a16="http://schemas.microsoft.com/office/drawing/2014/main" id="{00000000-0008-0000-0F00-000009000000}"/>
            </a:ext>
          </a:extLst>
        </xdr:cNvPr>
        <xdr:cNvPicPr>
          <a:picLocks noChangeAspect="1"/>
        </xdr:cNvPicPr>
      </xdr:nvPicPr>
      <xdr:blipFill>
        <a:blip xmlns:r="http://schemas.openxmlformats.org/officeDocument/2006/relationships" r:embed="rId2"/>
        <a:srcRect/>
        <a:stretch/>
      </xdr:blipFill>
      <xdr:spPr>
        <a:xfrm>
          <a:off x="296571" y="28575"/>
          <a:ext cx="1549983" cy="273054"/>
        </a:xfrm>
        <a:prstGeom prst="rect">
          <a:avLst/>
        </a:prstGeom>
      </xdr:spPr>
    </xdr:pic>
    <xdr:clientData/>
  </xdr:twoCellAnchor>
  <xdr:twoCellAnchor editAs="oneCell">
    <xdr:from>
      <xdr:col>2</xdr:col>
      <xdr:colOff>877030</xdr:colOff>
      <xdr:row>0</xdr:row>
      <xdr:rowOff>9525</xdr:rowOff>
    </xdr:from>
    <xdr:to>
      <xdr:col>5</xdr:col>
      <xdr:colOff>148494</xdr:colOff>
      <xdr:row>0</xdr:row>
      <xdr:rowOff>300634</xdr:rowOff>
    </xdr:to>
    <xdr:pic>
      <xdr:nvPicPr>
        <xdr:cNvPr id="6" name="Billede 5">
          <a:hlinkClick xmlns:r="http://schemas.openxmlformats.org/officeDocument/2006/relationships" r:id="rId3"/>
          <a:extLst>
            <a:ext uri="{FF2B5EF4-FFF2-40B4-BE49-F238E27FC236}">
              <a16:creationId xmlns:a16="http://schemas.microsoft.com/office/drawing/2014/main" id="{00000000-0008-0000-0F00-000006000000}"/>
            </a:ext>
          </a:extLst>
        </xdr:cNvPr>
        <xdr:cNvPicPr>
          <a:picLocks noChangeAspect="1"/>
        </xdr:cNvPicPr>
      </xdr:nvPicPr>
      <xdr:blipFill>
        <a:blip xmlns:r="http://schemas.openxmlformats.org/officeDocument/2006/relationships" r:embed="rId4"/>
        <a:srcRect/>
        <a:stretch/>
      </xdr:blipFill>
      <xdr:spPr>
        <a:xfrm>
          <a:off x="2121630" y="9525"/>
          <a:ext cx="1802997" cy="291109"/>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2</xdr:col>
      <xdr:colOff>676275</xdr:colOff>
      <xdr:row>0</xdr:row>
      <xdr:rowOff>28575</xdr:rowOff>
    </xdr:from>
    <xdr:to>
      <xdr:col>4</xdr:col>
      <xdr:colOff>523875</xdr:colOff>
      <xdr:row>0</xdr:row>
      <xdr:rowOff>305723</xdr:rowOff>
    </xdr:to>
    <xdr:pic macro="[0]!printer">
      <xdr:nvPicPr>
        <xdr:cNvPr id="6" name="Billede 5">
          <a:hlinkClick xmlns:r="http://schemas.openxmlformats.org/officeDocument/2006/relationships" r:id="rId1"/>
          <a:extLst>
            <a:ext uri="{FF2B5EF4-FFF2-40B4-BE49-F238E27FC236}">
              <a16:creationId xmlns:a16="http://schemas.microsoft.com/office/drawing/2014/main" id="{00000000-0008-0000-1000-00000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990975" y="28575"/>
          <a:ext cx="1924050" cy="277148"/>
        </a:xfrm>
        <a:prstGeom prst="rect">
          <a:avLst/>
        </a:prstGeom>
      </xdr:spPr>
    </xdr:pic>
    <xdr:clientData/>
  </xdr:twoCellAnchor>
  <xdr:twoCellAnchor editAs="oneCell">
    <xdr:from>
      <xdr:col>1</xdr:col>
      <xdr:colOff>1609725</xdr:colOff>
      <xdr:row>0</xdr:row>
      <xdr:rowOff>9525</xdr:rowOff>
    </xdr:from>
    <xdr:to>
      <xdr:col>2</xdr:col>
      <xdr:colOff>152400</xdr:colOff>
      <xdr:row>0</xdr:row>
      <xdr:rowOff>300634</xdr:rowOff>
    </xdr:to>
    <xdr:pic>
      <xdr:nvPicPr>
        <xdr:cNvPr id="7" name="Billede 6">
          <a:hlinkClick xmlns:r="http://schemas.openxmlformats.org/officeDocument/2006/relationships" r:id="rId3"/>
          <a:extLst>
            <a:ext uri="{FF2B5EF4-FFF2-40B4-BE49-F238E27FC236}">
              <a16:creationId xmlns:a16="http://schemas.microsoft.com/office/drawing/2014/main" id="{00000000-0008-0000-1000-000007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933575" y="9525"/>
          <a:ext cx="1933575" cy="291109"/>
        </a:xfrm>
        <a:prstGeom prst="rect">
          <a:avLst/>
        </a:prstGeom>
      </xdr:spPr>
    </xdr:pic>
    <xdr:clientData/>
  </xdr:twoCellAnchor>
  <xdr:twoCellAnchor editAs="oneCell">
    <xdr:from>
      <xdr:col>0</xdr:col>
      <xdr:colOff>0</xdr:colOff>
      <xdr:row>0</xdr:row>
      <xdr:rowOff>28575</xdr:rowOff>
    </xdr:from>
    <xdr:to>
      <xdr:col>1</xdr:col>
      <xdr:colOff>1562100</xdr:colOff>
      <xdr:row>0</xdr:row>
      <xdr:rowOff>301629</xdr:rowOff>
    </xdr:to>
    <xdr:pic>
      <xdr:nvPicPr>
        <xdr:cNvPr id="8" name="Billede 7">
          <a:hlinkClick xmlns:r="http://schemas.openxmlformats.org/officeDocument/2006/relationships" r:id="rId5"/>
          <a:extLst>
            <a:ext uri="{FF2B5EF4-FFF2-40B4-BE49-F238E27FC236}">
              <a16:creationId xmlns:a16="http://schemas.microsoft.com/office/drawing/2014/main" id="{00000000-0008-0000-1000-000008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28575"/>
          <a:ext cx="1885950" cy="273054"/>
        </a:xfrm>
        <a:prstGeom prst="rect">
          <a:avLst/>
        </a:prstGeom>
      </xdr:spPr>
    </xdr:pic>
    <xdr:clientData/>
  </xdr:twoCellAnchor>
  <xdr:twoCellAnchor editAs="oneCell">
    <xdr:from>
      <xdr:col>5</xdr:col>
      <xdr:colOff>152401</xdr:colOff>
      <xdr:row>0</xdr:row>
      <xdr:rowOff>0</xdr:rowOff>
    </xdr:from>
    <xdr:to>
      <xdr:col>7</xdr:col>
      <xdr:colOff>304801</xdr:colOff>
      <xdr:row>0</xdr:row>
      <xdr:rowOff>302628</xdr:rowOff>
    </xdr:to>
    <xdr:pic>
      <xdr:nvPicPr>
        <xdr:cNvPr id="9" name="Billede 8">
          <a:hlinkClick xmlns:r="http://schemas.openxmlformats.org/officeDocument/2006/relationships" r:id="rId7"/>
          <a:extLst>
            <a:ext uri="{FF2B5EF4-FFF2-40B4-BE49-F238E27FC236}">
              <a16:creationId xmlns:a16="http://schemas.microsoft.com/office/drawing/2014/main" id="{00000000-0008-0000-1000-0000090000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5915026" y="0"/>
          <a:ext cx="1943100" cy="302628"/>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47625</xdr:colOff>
      <xdr:row>12</xdr:row>
      <xdr:rowOff>104775</xdr:rowOff>
    </xdr:from>
    <xdr:to>
      <xdr:col>5</xdr:col>
      <xdr:colOff>0</xdr:colOff>
      <xdr:row>31</xdr:row>
      <xdr:rowOff>95250</xdr:rowOff>
    </xdr:to>
    <xdr:graphicFrame macro="">
      <xdr:nvGraphicFramePr>
        <xdr:cNvPr id="3343" name="Chart 2">
          <a:extLst>
            <a:ext uri="{FF2B5EF4-FFF2-40B4-BE49-F238E27FC236}">
              <a16:creationId xmlns:a16="http://schemas.microsoft.com/office/drawing/2014/main" id="{00000000-0008-0000-1200-00000F0D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33</xdr:row>
      <xdr:rowOff>104775</xdr:rowOff>
    </xdr:from>
    <xdr:to>
      <xdr:col>6</xdr:col>
      <xdr:colOff>19050</xdr:colOff>
      <xdr:row>55</xdr:row>
      <xdr:rowOff>152400</xdr:rowOff>
    </xdr:to>
    <xdr:graphicFrame macro="">
      <xdr:nvGraphicFramePr>
        <xdr:cNvPr id="3344" name="Chart 3">
          <a:extLst>
            <a:ext uri="{FF2B5EF4-FFF2-40B4-BE49-F238E27FC236}">
              <a16:creationId xmlns:a16="http://schemas.microsoft.com/office/drawing/2014/main" id="{00000000-0008-0000-1200-0000100D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428625</xdr:colOff>
      <xdr:row>0</xdr:row>
      <xdr:rowOff>9525</xdr:rowOff>
    </xdr:from>
    <xdr:to>
      <xdr:col>4</xdr:col>
      <xdr:colOff>104775</xdr:colOff>
      <xdr:row>0</xdr:row>
      <xdr:rowOff>300634</xdr:rowOff>
    </xdr:to>
    <xdr:pic>
      <xdr:nvPicPr>
        <xdr:cNvPr id="8" name="Billede 7">
          <a:hlinkClick xmlns:r="http://schemas.openxmlformats.org/officeDocument/2006/relationships" r:id="rId3"/>
          <a:extLst>
            <a:ext uri="{FF2B5EF4-FFF2-40B4-BE49-F238E27FC236}">
              <a16:creationId xmlns:a16="http://schemas.microsoft.com/office/drawing/2014/main" id="{00000000-0008-0000-1200-000008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933575" y="9525"/>
          <a:ext cx="1933575" cy="291109"/>
        </a:xfrm>
        <a:prstGeom prst="rect">
          <a:avLst/>
        </a:prstGeom>
      </xdr:spPr>
    </xdr:pic>
    <xdr:clientData/>
  </xdr:twoCellAnchor>
  <xdr:twoCellAnchor editAs="oneCell">
    <xdr:from>
      <xdr:col>0</xdr:col>
      <xdr:colOff>0</xdr:colOff>
      <xdr:row>0</xdr:row>
      <xdr:rowOff>28575</xdr:rowOff>
    </xdr:from>
    <xdr:to>
      <xdr:col>1</xdr:col>
      <xdr:colOff>352425</xdr:colOff>
      <xdr:row>0</xdr:row>
      <xdr:rowOff>301629</xdr:rowOff>
    </xdr:to>
    <xdr:pic>
      <xdr:nvPicPr>
        <xdr:cNvPr id="9" name="Billede 8">
          <a:hlinkClick xmlns:r="http://schemas.openxmlformats.org/officeDocument/2006/relationships" r:id="rId5"/>
          <a:extLst>
            <a:ext uri="{FF2B5EF4-FFF2-40B4-BE49-F238E27FC236}">
              <a16:creationId xmlns:a16="http://schemas.microsoft.com/office/drawing/2014/main" id="{00000000-0008-0000-1200-000009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28575"/>
          <a:ext cx="1885950" cy="273054"/>
        </a:xfrm>
        <a:prstGeom prst="rect">
          <a:avLst/>
        </a:prstGeom>
      </xdr:spPr>
    </xdr:pic>
    <xdr:clientData/>
  </xdr:twoCellAnchor>
  <xdr:twoCellAnchor editAs="oneCell">
    <xdr:from>
      <xdr:col>1</xdr:col>
      <xdr:colOff>180975</xdr:colOff>
      <xdr:row>0</xdr:row>
      <xdr:rowOff>9525</xdr:rowOff>
    </xdr:from>
    <xdr:to>
      <xdr:col>3</xdr:col>
      <xdr:colOff>628650</xdr:colOff>
      <xdr:row>0</xdr:row>
      <xdr:rowOff>300634</xdr:rowOff>
    </xdr:to>
    <xdr:pic>
      <xdr:nvPicPr>
        <xdr:cNvPr id="11" name="Billede 10">
          <a:hlinkClick xmlns:r="http://schemas.openxmlformats.org/officeDocument/2006/relationships" r:id="rId7"/>
          <a:extLst>
            <a:ext uri="{FF2B5EF4-FFF2-40B4-BE49-F238E27FC236}">
              <a16:creationId xmlns:a16="http://schemas.microsoft.com/office/drawing/2014/main" id="{00000000-0008-0000-1200-00000B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933575" y="9525"/>
          <a:ext cx="2174875" cy="291109"/>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2</xdr:col>
      <xdr:colOff>76200</xdr:colOff>
      <xdr:row>60</xdr:row>
      <xdr:rowOff>161925</xdr:rowOff>
    </xdr:from>
    <xdr:to>
      <xdr:col>2</xdr:col>
      <xdr:colOff>381000</xdr:colOff>
      <xdr:row>63</xdr:row>
      <xdr:rowOff>133350</xdr:rowOff>
    </xdr:to>
    <xdr:pic>
      <xdr:nvPicPr>
        <xdr:cNvPr id="88199" name="Picture 1">
          <a:extLst>
            <a:ext uri="{FF2B5EF4-FFF2-40B4-BE49-F238E27FC236}">
              <a16:creationId xmlns:a16="http://schemas.microsoft.com/office/drawing/2014/main" id="{00000000-0008-0000-1400-00008758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1150" y="9877425"/>
          <a:ext cx="304800" cy="4572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round/>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1243588</xdr:colOff>
      <xdr:row>0</xdr:row>
      <xdr:rowOff>38100</xdr:rowOff>
    </xdr:from>
    <xdr:to>
      <xdr:col>2</xdr:col>
      <xdr:colOff>3060607</xdr:colOff>
      <xdr:row>1</xdr:row>
      <xdr:rowOff>503</xdr:rowOff>
    </xdr:to>
    <xdr:pic>
      <xdr:nvPicPr>
        <xdr:cNvPr id="6" name="Billede 5">
          <a:hlinkClick xmlns:r="http://schemas.openxmlformats.org/officeDocument/2006/relationships" r:id="rId1"/>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2"/>
        <a:srcRect/>
        <a:stretch/>
      </xdr:blipFill>
      <xdr:spPr>
        <a:xfrm>
          <a:off x="2290376" y="38100"/>
          <a:ext cx="1817019" cy="293373"/>
        </a:xfrm>
        <a:prstGeom prst="rect">
          <a:avLst/>
        </a:prstGeom>
      </xdr:spPr>
    </xdr:pic>
    <xdr:clientData/>
  </xdr:twoCellAnchor>
  <xdr:twoCellAnchor editAs="oneCell">
    <xdr:from>
      <xdr:col>1</xdr:col>
      <xdr:colOff>87935</xdr:colOff>
      <xdr:row>0</xdr:row>
      <xdr:rowOff>43969</xdr:rowOff>
    </xdr:from>
    <xdr:to>
      <xdr:col>2</xdr:col>
      <xdr:colOff>783554</xdr:colOff>
      <xdr:row>0</xdr:row>
      <xdr:rowOff>317023</xdr:rowOff>
    </xdr:to>
    <xdr:pic>
      <xdr:nvPicPr>
        <xdr:cNvPr id="7" name="Billede 6">
          <a:hlinkClick xmlns:r="http://schemas.openxmlformats.org/officeDocument/2006/relationships" r:id="rId3"/>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4"/>
        <a:srcRect/>
        <a:stretch/>
      </xdr:blipFill>
      <xdr:spPr>
        <a:xfrm>
          <a:off x="280359" y="43969"/>
          <a:ext cx="1549983" cy="273054"/>
        </a:xfrm>
        <a:prstGeom prst="rect">
          <a:avLst/>
        </a:prstGeom>
      </xdr:spPr>
    </xdr:pic>
    <xdr:clientData/>
  </xdr:twoCellAnchor>
  <xdr:twoCellAnchor editAs="oneCell">
    <xdr:from>
      <xdr:col>0</xdr:col>
      <xdr:colOff>0</xdr:colOff>
      <xdr:row>11</xdr:row>
      <xdr:rowOff>6350</xdr:rowOff>
    </xdr:from>
    <xdr:to>
      <xdr:col>1</xdr:col>
      <xdr:colOff>428625</xdr:colOff>
      <xdr:row>11</xdr:row>
      <xdr:rowOff>194309</xdr:rowOff>
    </xdr:to>
    <xdr:pic>
      <xdr:nvPicPr>
        <xdr:cNvPr id="2" name="Billede 1">
          <a:hlinkClick xmlns:r="http://schemas.openxmlformats.org/officeDocument/2006/relationships" r:id="rId5"/>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2343150"/>
          <a:ext cx="619125" cy="187959"/>
        </a:xfrm>
        <a:prstGeom prst="rect">
          <a:avLst/>
        </a:prstGeom>
      </xdr:spPr>
    </xdr:pic>
    <xdr:clientData/>
  </xdr:twoCellAnchor>
  <xdr:twoCellAnchor editAs="oneCell">
    <xdr:from>
      <xdr:col>0</xdr:col>
      <xdr:colOff>0</xdr:colOff>
      <xdr:row>15</xdr:row>
      <xdr:rowOff>0</xdr:rowOff>
    </xdr:from>
    <xdr:to>
      <xdr:col>1</xdr:col>
      <xdr:colOff>428625</xdr:colOff>
      <xdr:row>16</xdr:row>
      <xdr:rowOff>21203</xdr:rowOff>
    </xdr:to>
    <xdr:pic>
      <xdr:nvPicPr>
        <xdr:cNvPr id="9" name="Billede 8">
          <a:hlinkClick xmlns:r="http://schemas.openxmlformats.org/officeDocument/2006/relationships" r:id="rId7"/>
          <a:extLst>
            <a:ext uri="{FF2B5EF4-FFF2-40B4-BE49-F238E27FC236}">
              <a16:creationId xmlns:a16="http://schemas.microsoft.com/office/drawing/2014/main" id="{00000000-0008-0000-0300-000009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2514600"/>
          <a:ext cx="600075" cy="184784"/>
        </a:xfrm>
        <a:prstGeom prst="rect">
          <a:avLst/>
        </a:prstGeom>
      </xdr:spPr>
    </xdr:pic>
    <xdr:clientData/>
  </xdr:twoCellAnchor>
  <xdr:twoCellAnchor editAs="oneCell">
    <xdr:from>
      <xdr:col>0</xdr:col>
      <xdr:colOff>0</xdr:colOff>
      <xdr:row>31</xdr:row>
      <xdr:rowOff>0</xdr:rowOff>
    </xdr:from>
    <xdr:to>
      <xdr:col>1</xdr:col>
      <xdr:colOff>428625</xdr:colOff>
      <xdr:row>31</xdr:row>
      <xdr:rowOff>187959</xdr:rowOff>
    </xdr:to>
    <xdr:pic>
      <xdr:nvPicPr>
        <xdr:cNvPr id="10" name="Billede 9">
          <a:hlinkClick xmlns:r="http://schemas.openxmlformats.org/officeDocument/2006/relationships" r:id="rId8"/>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3343275"/>
          <a:ext cx="600075" cy="184784"/>
        </a:xfrm>
        <a:prstGeom prst="rect">
          <a:avLst/>
        </a:prstGeom>
      </xdr:spPr>
    </xdr:pic>
    <xdr:clientData/>
  </xdr:twoCellAnchor>
  <xdr:twoCellAnchor editAs="oneCell">
    <xdr:from>
      <xdr:col>0</xdr:col>
      <xdr:colOff>0</xdr:colOff>
      <xdr:row>36</xdr:row>
      <xdr:rowOff>0</xdr:rowOff>
    </xdr:from>
    <xdr:to>
      <xdr:col>1</xdr:col>
      <xdr:colOff>428625</xdr:colOff>
      <xdr:row>36</xdr:row>
      <xdr:rowOff>191134</xdr:rowOff>
    </xdr:to>
    <xdr:pic>
      <xdr:nvPicPr>
        <xdr:cNvPr id="11" name="Billede 10">
          <a:hlinkClick xmlns:r="http://schemas.openxmlformats.org/officeDocument/2006/relationships" r:id="rId9"/>
          <a:extLst>
            <a:ext uri="{FF2B5EF4-FFF2-40B4-BE49-F238E27FC236}">
              <a16:creationId xmlns:a16="http://schemas.microsoft.com/office/drawing/2014/main" id="{00000000-0008-0000-0300-00000B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4086225"/>
          <a:ext cx="600075" cy="184784"/>
        </a:xfrm>
        <a:prstGeom prst="rect">
          <a:avLst/>
        </a:prstGeom>
      </xdr:spPr>
    </xdr:pic>
    <xdr:clientData/>
  </xdr:twoCellAnchor>
  <xdr:twoCellAnchor editAs="oneCell">
    <xdr:from>
      <xdr:col>0</xdr:col>
      <xdr:colOff>0</xdr:colOff>
      <xdr:row>38</xdr:row>
      <xdr:rowOff>0</xdr:rowOff>
    </xdr:from>
    <xdr:to>
      <xdr:col>1</xdr:col>
      <xdr:colOff>428625</xdr:colOff>
      <xdr:row>38</xdr:row>
      <xdr:rowOff>197484</xdr:rowOff>
    </xdr:to>
    <xdr:pic>
      <xdr:nvPicPr>
        <xdr:cNvPr id="12" name="Billede 11">
          <a:hlinkClick xmlns:r="http://schemas.openxmlformats.org/officeDocument/2006/relationships" r:id="rId10"/>
          <a:extLst>
            <a:ext uri="{FF2B5EF4-FFF2-40B4-BE49-F238E27FC236}">
              <a16:creationId xmlns:a16="http://schemas.microsoft.com/office/drawing/2014/main" id="{00000000-0008-0000-0300-00000C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4600575"/>
          <a:ext cx="600075" cy="184784"/>
        </a:xfrm>
        <a:prstGeom prst="rect">
          <a:avLst/>
        </a:prstGeom>
      </xdr:spPr>
    </xdr:pic>
    <xdr:clientData/>
  </xdr:twoCellAnchor>
  <xdr:twoCellAnchor editAs="oneCell">
    <xdr:from>
      <xdr:col>0</xdr:col>
      <xdr:colOff>0</xdr:colOff>
      <xdr:row>38</xdr:row>
      <xdr:rowOff>6350</xdr:rowOff>
    </xdr:from>
    <xdr:to>
      <xdr:col>1</xdr:col>
      <xdr:colOff>430767</xdr:colOff>
      <xdr:row>38</xdr:row>
      <xdr:rowOff>165652</xdr:rowOff>
    </xdr:to>
    <xdr:pic>
      <xdr:nvPicPr>
        <xdr:cNvPr id="13" name="Billede 12">
          <a:hlinkClick xmlns:r="http://schemas.openxmlformats.org/officeDocument/2006/relationships" r:id="rId11"/>
          <a:extLst>
            <a:ext uri="{FF2B5EF4-FFF2-40B4-BE49-F238E27FC236}">
              <a16:creationId xmlns:a16="http://schemas.microsoft.com/office/drawing/2014/main" id="{00000000-0008-0000-0300-00000D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5053220"/>
          <a:ext cx="618506" cy="159302"/>
        </a:xfrm>
        <a:prstGeom prst="rect">
          <a:avLst/>
        </a:prstGeom>
      </xdr:spPr>
    </xdr:pic>
    <xdr:clientData/>
  </xdr:twoCellAnchor>
  <xdr:twoCellAnchor editAs="oneCell">
    <xdr:from>
      <xdr:col>0</xdr:col>
      <xdr:colOff>0</xdr:colOff>
      <xdr:row>45</xdr:row>
      <xdr:rowOff>0</xdr:rowOff>
    </xdr:from>
    <xdr:to>
      <xdr:col>1</xdr:col>
      <xdr:colOff>428625</xdr:colOff>
      <xdr:row>45</xdr:row>
      <xdr:rowOff>187959</xdr:rowOff>
    </xdr:to>
    <xdr:pic>
      <xdr:nvPicPr>
        <xdr:cNvPr id="14" name="Billede 13">
          <a:hlinkClick xmlns:r="http://schemas.openxmlformats.org/officeDocument/2006/relationships" r:id="rId12"/>
          <a:extLst>
            <a:ext uri="{FF2B5EF4-FFF2-40B4-BE49-F238E27FC236}">
              <a16:creationId xmlns:a16="http://schemas.microsoft.com/office/drawing/2014/main" id="{00000000-0008-0000-0300-00000E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5419725"/>
          <a:ext cx="600075" cy="184784"/>
        </a:xfrm>
        <a:prstGeom prst="rect">
          <a:avLst/>
        </a:prstGeom>
      </xdr:spPr>
    </xdr:pic>
    <xdr:clientData/>
  </xdr:twoCellAnchor>
  <xdr:twoCellAnchor editAs="oneCell">
    <xdr:from>
      <xdr:col>0</xdr:col>
      <xdr:colOff>0</xdr:colOff>
      <xdr:row>47</xdr:row>
      <xdr:rowOff>196850</xdr:rowOff>
    </xdr:from>
    <xdr:to>
      <xdr:col>1</xdr:col>
      <xdr:colOff>428625</xdr:colOff>
      <xdr:row>48</xdr:row>
      <xdr:rowOff>181609</xdr:rowOff>
    </xdr:to>
    <xdr:pic>
      <xdr:nvPicPr>
        <xdr:cNvPr id="15" name="Billede 14">
          <a:hlinkClick xmlns:r="http://schemas.openxmlformats.org/officeDocument/2006/relationships" r:id="rId13"/>
          <a:extLst>
            <a:ext uri="{FF2B5EF4-FFF2-40B4-BE49-F238E27FC236}">
              <a16:creationId xmlns:a16="http://schemas.microsoft.com/office/drawing/2014/main" id="{00000000-0008-0000-0300-00000F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6305550"/>
          <a:ext cx="619125" cy="187959"/>
        </a:xfrm>
        <a:prstGeom prst="rect">
          <a:avLst/>
        </a:prstGeom>
      </xdr:spPr>
    </xdr:pic>
    <xdr:clientData/>
  </xdr:twoCellAnchor>
  <xdr:twoCellAnchor editAs="oneCell">
    <xdr:from>
      <xdr:col>0</xdr:col>
      <xdr:colOff>0</xdr:colOff>
      <xdr:row>53</xdr:row>
      <xdr:rowOff>190500</xdr:rowOff>
    </xdr:from>
    <xdr:to>
      <xdr:col>1</xdr:col>
      <xdr:colOff>428625</xdr:colOff>
      <xdr:row>54</xdr:row>
      <xdr:rowOff>175259</xdr:rowOff>
    </xdr:to>
    <xdr:pic>
      <xdr:nvPicPr>
        <xdr:cNvPr id="16" name="Billede 15">
          <a:hlinkClick xmlns:r="http://schemas.openxmlformats.org/officeDocument/2006/relationships" r:id="rId14"/>
          <a:extLst>
            <a:ext uri="{FF2B5EF4-FFF2-40B4-BE49-F238E27FC236}">
              <a16:creationId xmlns:a16="http://schemas.microsoft.com/office/drawing/2014/main" id="{00000000-0008-0000-0300-000010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7518400"/>
          <a:ext cx="619125" cy="187959"/>
        </a:xfrm>
        <a:prstGeom prst="rect">
          <a:avLst/>
        </a:prstGeom>
      </xdr:spPr>
    </xdr:pic>
    <xdr:clientData/>
  </xdr:twoCellAnchor>
  <xdr:twoCellAnchor editAs="oneCell">
    <xdr:from>
      <xdr:col>0</xdr:col>
      <xdr:colOff>0</xdr:colOff>
      <xdr:row>55</xdr:row>
      <xdr:rowOff>200025</xdr:rowOff>
    </xdr:from>
    <xdr:to>
      <xdr:col>1</xdr:col>
      <xdr:colOff>428625</xdr:colOff>
      <xdr:row>56</xdr:row>
      <xdr:rowOff>184783</xdr:rowOff>
    </xdr:to>
    <xdr:pic>
      <xdr:nvPicPr>
        <xdr:cNvPr id="17" name="Billede 16">
          <a:hlinkClick xmlns:r="http://schemas.openxmlformats.org/officeDocument/2006/relationships" r:id="rId15"/>
          <a:extLst>
            <a:ext uri="{FF2B5EF4-FFF2-40B4-BE49-F238E27FC236}">
              <a16:creationId xmlns:a16="http://schemas.microsoft.com/office/drawing/2014/main" id="{00000000-0008-0000-0300-000011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7731125"/>
          <a:ext cx="619125" cy="187959"/>
        </a:xfrm>
        <a:prstGeom prst="rect">
          <a:avLst/>
        </a:prstGeom>
      </xdr:spPr>
    </xdr:pic>
    <xdr:clientData/>
  </xdr:twoCellAnchor>
  <xdr:twoCellAnchor editAs="oneCell">
    <xdr:from>
      <xdr:col>0</xdr:col>
      <xdr:colOff>15875</xdr:colOff>
      <xdr:row>61</xdr:row>
      <xdr:rowOff>12700</xdr:rowOff>
    </xdr:from>
    <xdr:to>
      <xdr:col>1</xdr:col>
      <xdr:colOff>444500</xdr:colOff>
      <xdr:row>62</xdr:row>
      <xdr:rowOff>10159</xdr:rowOff>
    </xdr:to>
    <xdr:pic>
      <xdr:nvPicPr>
        <xdr:cNvPr id="18" name="Billede 17">
          <a:hlinkClick xmlns:r="http://schemas.openxmlformats.org/officeDocument/2006/relationships" r:id="rId16"/>
          <a:extLst>
            <a:ext uri="{FF2B5EF4-FFF2-40B4-BE49-F238E27FC236}">
              <a16:creationId xmlns:a16="http://schemas.microsoft.com/office/drawing/2014/main" id="{00000000-0008-0000-0300-000012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5875" y="8559800"/>
          <a:ext cx="619125" cy="200659"/>
        </a:xfrm>
        <a:prstGeom prst="rect">
          <a:avLst/>
        </a:prstGeom>
      </xdr:spPr>
    </xdr:pic>
    <xdr:clientData/>
  </xdr:twoCellAnchor>
  <xdr:twoCellAnchor editAs="oneCell">
    <xdr:from>
      <xdr:col>0</xdr:col>
      <xdr:colOff>12700</xdr:colOff>
      <xdr:row>61</xdr:row>
      <xdr:rowOff>193675</xdr:rowOff>
    </xdr:from>
    <xdr:to>
      <xdr:col>1</xdr:col>
      <xdr:colOff>441325</xdr:colOff>
      <xdr:row>62</xdr:row>
      <xdr:rowOff>187959</xdr:rowOff>
    </xdr:to>
    <xdr:pic>
      <xdr:nvPicPr>
        <xdr:cNvPr id="19" name="Billede 18">
          <a:hlinkClick xmlns:r="http://schemas.openxmlformats.org/officeDocument/2006/relationships" r:id="rId17"/>
          <a:extLst>
            <a:ext uri="{FF2B5EF4-FFF2-40B4-BE49-F238E27FC236}">
              <a16:creationId xmlns:a16="http://schemas.microsoft.com/office/drawing/2014/main" id="{00000000-0008-0000-0300-000013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2700" y="8740775"/>
          <a:ext cx="619125" cy="197484"/>
        </a:xfrm>
        <a:prstGeom prst="rect">
          <a:avLst/>
        </a:prstGeom>
      </xdr:spPr>
    </xdr:pic>
    <xdr:clientData/>
  </xdr:twoCellAnchor>
  <xdr:twoCellAnchor editAs="oneCell">
    <xdr:from>
      <xdr:col>0</xdr:col>
      <xdr:colOff>0</xdr:colOff>
      <xdr:row>70</xdr:row>
      <xdr:rowOff>0</xdr:rowOff>
    </xdr:from>
    <xdr:to>
      <xdr:col>1</xdr:col>
      <xdr:colOff>428625</xdr:colOff>
      <xdr:row>70</xdr:row>
      <xdr:rowOff>197484</xdr:rowOff>
    </xdr:to>
    <xdr:pic>
      <xdr:nvPicPr>
        <xdr:cNvPr id="20" name="Billede 19">
          <a:hlinkClick xmlns:r="http://schemas.openxmlformats.org/officeDocument/2006/relationships" r:id="rId18"/>
          <a:extLst>
            <a:ext uri="{FF2B5EF4-FFF2-40B4-BE49-F238E27FC236}">
              <a16:creationId xmlns:a16="http://schemas.microsoft.com/office/drawing/2014/main" id="{00000000-0008-0000-0300-000014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9715500"/>
          <a:ext cx="600075" cy="184784"/>
        </a:xfrm>
        <a:prstGeom prst="rect">
          <a:avLst/>
        </a:prstGeom>
      </xdr:spPr>
    </xdr:pic>
    <xdr:clientData/>
  </xdr:twoCellAnchor>
  <xdr:twoCellAnchor editAs="oneCell">
    <xdr:from>
      <xdr:col>0</xdr:col>
      <xdr:colOff>0</xdr:colOff>
      <xdr:row>74</xdr:row>
      <xdr:rowOff>0</xdr:rowOff>
    </xdr:from>
    <xdr:to>
      <xdr:col>1</xdr:col>
      <xdr:colOff>428625</xdr:colOff>
      <xdr:row>74</xdr:row>
      <xdr:rowOff>187959</xdr:rowOff>
    </xdr:to>
    <xdr:pic>
      <xdr:nvPicPr>
        <xdr:cNvPr id="21" name="Billede 20">
          <a:hlinkClick xmlns:r="http://schemas.openxmlformats.org/officeDocument/2006/relationships" r:id="rId19"/>
          <a:extLst>
            <a:ext uri="{FF2B5EF4-FFF2-40B4-BE49-F238E27FC236}">
              <a16:creationId xmlns:a16="http://schemas.microsoft.com/office/drawing/2014/main" id="{00000000-0008-0000-0300-000015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10325100"/>
          <a:ext cx="600075" cy="184784"/>
        </a:xfrm>
        <a:prstGeom prst="rect">
          <a:avLst/>
        </a:prstGeom>
      </xdr:spPr>
    </xdr:pic>
    <xdr:clientData/>
  </xdr:twoCellAnchor>
  <xdr:twoCellAnchor editAs="oneCell">
    <xdr:from>
      <xdr:col>0</xdr:col>
      <xdr:colOff>0</xdr:colOff>
      <xdr:row>79</xdr:row>
      <xdr:rowOff>6350</xdr:rowOff>
    </xdr:from>
    <xdr:to>
      <xdr:col>1</xdr:col>
      <xdr:colOff>428625</xdr:colOff>
      <xdr:row>79</xdr:row>
      <xdr:rowOff>194309</xdr:rowOff>
    </xdr:to>
    <xdr:pic>
      <xdr:nvPicPr>
        <xdr:cNvPr id="22" name="Billede 21">
          <a:hlinkClick xmlns:r="http://schemas.openxmlformats.org/officeDocument/2006/relationships" r:id="rId20"/>
          <a:extLst>
            <a:ext uri="{FF2B5EF4-FFF2-40B4-BE49-F238E27FC236}">
              <a16:creationId xmlns:a16="http://schemas.microsoft.com/office/drawing/2014/main" id="{00000000-0008-0000-0300-000016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12147550"/>
          <a:ext cx="619125" cy="187959"/>
        </a:xfrm>
        <a:prstGeom prst="rect">
          <a:avLst/>
        </a:prstGeom>
      </xdr:spPr>
    </xdr:pic>
    <xdr:clientData/>
  </xdr:twoCellAnchor>
  <xdr:twoCellAnchor editAs="oneCell">
    <xdr:from>
      <xdr:col>0</xdr:col>
      <xdr:colOff>0</xdr:colOff>
      <xdr:row>11</xdr:row>
      <xdr:rowOff>190500</xdr:rowOff>
    </xdr:from>
    <xdr:to>
      <xdr:col>1</xdr:col>
      <xdr:colOff>428625</xdr:colOff>
      <xdr:row>12</xdr:row>
      <xdr:rowOff>162558</xdr:rowOff>
    </xdr:to>
    <xdr:pic>
      <xdr:nvPicPr>
        <xdr:cNvPr id="23" name="Billede 22">
          <a:hlinkClick xmlns:r="http://schemas.openxmlformats.org/officeDocument/2006/relationships" r:id="rId21"/>
          <a:extLst>
            <a:ext uri="{FF2B5EF4-FFF2-40B4-BE49-F238E27FC236}">
              <a16:creationId xmlns:a16="http://schemas.microsoft.com/office/drawing/2014/main" id="{00000000-0008-0000-0300-000017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2527300"/>
          <a:ext cx="619125" cy="187959"/>
        </a:xfrm>
        <a:prstGeom prst="rect">
          <a:avLst/>
        </a:prstGeom>
      </xdr:spPr>
    </xdr:pic>
    <xdr:clientData/>
  </xdr:twoCellAnchor>
  <xdr:twoCellAnchor editAs="oneCell">
    <xdr:from>
      <xdr:col>0</xdr:col>
      <xdr:colOff>0</xdr:colOff>
      <xdr:row>14</xdr:row>
      <xdr:rowOff>0</xdr:rowOff>
    </xdr:from>
    <xdr:to>
      <xdr:col>1</xdr:col>
      <xdr:colOff>428625</xdr:colOff>
      <xdr:row>15</xdr:row>
      <xdr:rowOff>7464</xdr:rowOff>
    </xdr:to>
    <xdr:pic>
      <xdr:nvPicPr>
        <xdr:cNvPr id="24" name="Billede 23">
          <a:hlinkClick xmlns:r="http://schemas.openxmlformats.org/officeDocument/2006/relationships" r:id="rId22"/>
          <a:extLst>
            <a:ext uri="{FF2B5EF4-FFF2-40B4-BE49-F238E27FC236}">
              <a16:creationId xmlns:a16="http://schemas.microsoft.com/office/drawing/2014/main" id="{00000000-0008-0000-0300-000018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2717800"/>
          <a:ext cx="619125" cy="187959"/>
        </a:xfrm>
        <a:prstGeom prst="rect">
          <a:avLst/>
        </a:prstGeom>
      </xdr:spPr>
    </xdr:pic>
    <xdr:clientData/>
  </xdr:twoCellAnchor>
  <xdr:twoCellAnchor editAs="oneCell">
    <xdr:from>
      <xdr:col>0</xdr:col>
      <xdr:colOff>0</xdr:colOff>
      <xdr:row>17</xdr:row>
      <xdr:rowOff>0</xdr:rowOff>
    </xdr:from>
    <xdr:to>
      <xdr:col>1</xdr:col>
      <xdr:colOff>428625</xdr:colOff>
      <xdr:row>17</xdr:row>
      <xdr:rowOff>187959</xdr:rowOff>
    </xdr:to>
    <xdr:pic>
      <xdr:nvPicPr>
        <xdr:cNvPr id="25" name="Billede 24">
          <a:hlinkClick xmlns:r="http://schemas.openxmlformats.org/officeDocument/2006/relationships" r:id="rId10"/>
          <a:extLst>
            <a:ext uri="{FF2B5EF4-FFF2-40B4-BE49-F238E27FC236}">
              <a16:creationId xmlns:a16="http://schemas.microsoft.com/office/drawing/2014/main" id="{00000000-0008-0000-0300-000019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3060700"/>
          <a:ext cx="619125" cy="187959"/>
        </a:xfrm>
        <a:prstGeom prst="rect">
          <a:avLst/>
        </a:prstGeom>
      </xdr:spPr>
    </xdr:pic>
    <xdr:clientData/>
  </xdr:twoCellAnchor>
  <xdr:twoCellAnchor editAs="oneCell">
    <xdr:from>
      <xdr:col>0</xdr:col>
      <xdr:colOff>0</xdr:colOff>
      <xdr:row>30</xdr:row>
      <xdr:rowOff>0</xdr:rowOff>
    </xdr:from>
    <xdr:to>
      <xdr:col>1</xdr:col>
      <xdr:colOff>428625</xdr:colOff>
      <xdr:row>30</xdr:row>
      <xdr:rowOff>187959</xdr:rowOff>
    </xdr:to>
    <xdr:pic>
      <xdr:nvPicPr>
        <xdr:cNvPr id="26" name="Billede 25">
          <a:hlinkClick xmlns:r="http://schemas.openxmlformats.org/officeDocument/2006/relationships" r:id="rId23"/>
          <a:extLst>
            <a:ext uri="{FF2B5EF4-FFF2-40B4-BE49-F238E27FC236}">
              <a16:creationId xmlns:a16="http://schemas.microsoft.com/office/drawing/2014/main" id="{00000000-0008-0000-0300-00001A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3581400"/>
          <a:ext cx="619125" cy="187959"/>
        </a:xfrm>
        <a:prstGeom prst="rect">
          <a:avLst/>
        </a:prstGeom>
      </xdr:spPr>
    </xdr:pic>
    <xdr:clientData/>
  </xdr:twoCellAnchor>
  <xdr:twoCellAnchor editAs="oneCell">
    <xdr:from>
      <xdr:col>0</xdr:col>
      <xdr:colOff>0</xdr:colOff>
      <xdr:row>32</xdr:row>
      <xdr:rowOff>0</xdr:rowOff>
    </xdr:from>
    <xdr:to>
      <xdr:col>1</xdr:col>
      <xdr:colOff>428625</xdr:colOff>
      <xdr:row>32</xdr:row>
      <xdr:rowOff>187959</xdr:rowOff>
    </xdr:to>
    <xdr:pic>
      <xdr:nvPicPr>
        <xdr:cNvPr id="27" name="Billede 26">
          <a:hlinkClick xmlns:r="http://schemas.openxmlformats.org/officeDocument/2006/relationships" r:id="rId24"/>
          <a:extLst>
            <a:ext uri="{FF2B5EF4-FFF2-40B4-BE49-F238E27FC236}">
              <a16:creationId xmlns:a16="http://schemas.microsoft.com/office/drawing/2014/main" id="{00000000-0008-0000-0300-00001B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3911600"/>
          <a:ext cx="619125" cy="187959"/>
        </a:xfrm>
        <a:prstGeom prst="rect">
          <a:avLst/>
        </a:prstGeom>
      </xdr:spPr>
    </xdr:pic>
    <xdr:clientData/>
  </xdr:twoCellAnchor>
  <xdr:twoCellAnchor editAs="oneCell">
    <xdr:from>
      <xdr:col>0</xdr:col>
      <xdr:colOff>0</xdr:colOff>
      <xdr:row>39</xdr:row>
      <xdr:rowOff>0</xdr:rowOff>
    </xdr:from>
    <xdr:to>
      <xdr:col>1</xdr:col>
      <xdr:colOff>428625</xdr:colOff>
      <xdr:row>39</xdr:row>
      <xdr:rowOff>187959</xdr:rowOff>
    </xdr:to>
    <xdr:pic>
      <xdr:nvPicPr>
        <xdr:cNvPr id="28" name="Billede 27">
          <a:hlinkClick xmlns:r="http://schemas.openxmlformats.org/officeDocument/2006/relationships" r:id="rId25"/>
          <a:extLst>
            <a:ext uri="{FF2B5EF4-FFF2-40B4-BE49-F238E27FC236}">
              <a16:creationId xmlns:a16="http://schemas.microsoft.com/office/drawing/2014/main" id="{00000000-0008-0000-0300-00001C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4737100"/>
          <a:ext cx="619125" cy="187959"/>
        </a:xfrm>
        <a:prstGeom prst="rect">
          <a:avLst/>
        </a:prstGeom>
      </xdr:spPr>
    </xdr:pic>
    <xdr:clientData/>
  </xdr:twoCellAnchor>
  <xdr:twoCellAnchor editAs="oneCell">
    <xdr:from>
      <xdr:col>0</xdr:col>
      <xdr:colOff>0</xdr:colOff>
      <xdr:row>44</xdr:row>
      <xdr:rowOff>0</xdr:rowOff>
    </xdr:from>
    <xdr:to>
      <xdr:col>1</xdr:col>
      <xdr:colOff>428625</xdr:colOff>
      <xdr:row>44</xdr:row>
      <xdr:rowOff>187959</xdr:rowOff>
    </xdr:to>
    <xdr:pic>
      <xdr:nvPicPr>
        <xdr:cNvPr id="29" name="Billede 28">
          <a:hlinkClick xmlns:r="http://schemas.openxmlformats.org/officeDocument/2006/relationships" r:id="rId26"/>
          <a:extLst>
            <a:ext uri="{FF2B5EF4-FFF2-40B4-BE49-F238E27FC236}">
              <a16:creationId xmlns:a16="http://schemas.microsoft.com/office/drawing/2014/main" id="{00000000-0008-0000-0300-00001D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5092700"/>
          <a:ext cx="619125" cy="187959"/>
        </a:xfrm>
        <a:prstGeom prst="rect">
          <a:avLst/>
        </a:prstGeom>
      </xdr:spPr>
    </xdr:pic>
    <xdr:clientData/>
  </xdr:twoCellAnchor>
  <xdr:twoCellAnchor editAs="oneCell">
    <xdr:from>
      <xdr:col>0</xdr:col>
      <xdr:colOff>0</xdr:colOff>
      <xdr:row>46</xdr:row>
      <xdr:rowOff>0</xdr:rowOff>
    </xdr:from>
    <xdr:to>
      <xdr:col>1</xdr:col>
      <xdr:colOff>428625</xdr:colOff>
      <xdr:row>46</xdr:row>
      <xdr:rowOff>187959</xdr:rowOff>
    </xdr:to>
    <xdr:pic>
      <xdr:nvPicPr>
        <xdr:cNvPr id="30" name="Billede 29">
          <a:hlinkClick xmlns:r="http://schemas.openxmlformats.org/officeDocument/2006/relationships" r:id="rId27"/>
          <a:extLst>
            <a:ext uri="{FF2B5EF4-FFF2-40B4-BE49-F238E27FC236}">
              <a16:creationId xmlns:a16="http://schemas.microsoft.com/office/drawing/2014/main" id="{00000000-0008-0000-0300-00001E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5422900"/>
          <a:ext cx="619125" cy="187959"/>
        </a:xfrm>
        <a:prstGeom prst="rect">
          <a:avLst/>
        </a:prstGeom>
      </xdr:spPr>
    </xdr:pic>
    <xdr:clientData/>
  </xdr:twoCellAnchor>
  <xdr:twoCellAnchor editAs="oneCell">
    <xdr:from>
      <xdr:col>0</xdr:col>
      <xdr:colOff>0</xdr:colOff>
      <xdr:row>47</xdr:row>
      <xdr:rowOff>0</xdr:rowOff>
    </xdr:from>
    <xdr:to>
      <xdr:col>1</xdr:col>
      <xdr:colOff>428625</xdr:colOff>
      <xdr:row>47</xdr:row>
      <xdr:rowOff>187959</xdr:rowOff>
    </xdr:to>
    <xdr:pic>
      <xdr:nvPicPr>
        <xdr:cNvPr id="31" name="Billede 30">
          <a:hlinkClick xmlns:r="http://schemas.openxmlformats.org/officeDocument/2006/relationships" r:id="rId28"/>
          <a:extLst>
            <a:ext uri="{FF2B5EF4-FFF2-40B4-BE49-F238E27FC236}">
              <a16:creationId xmlns:a16="http://schemas.microsoft.com/office/drawing/2014/main" id="{00000000-0008-0000-0300-00001F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5588000"/>
          <a:ext cx="619125" cy="187959"/>
        </a:xfrm>
        <a:prstGeom prst="rect">
          <a:avLst/>
        </a:prstGeom>
      </xdr:spPr>
    </xdr:pic>
    <xdr:clientData/>
  </xdr:twoCellAnchor>
  <xdr:twoCellAnchor editAs="oneCell">
    <xdr:from>
      <xdr:col>0</xdr:col>
      <xdr:colOff>0</xdr:colOff>
      <xdr:row>50</xdr:row>
      <xdr:rowOff>0</xdr:rowOff>
    </xdr:from>
    <xdr:to>
      <xdr:col>1</xdr:col>
      <xdr:colOff>428625</xdr:colOff>
      <xdr:row>50</xdr:row>
      <xdr:rowOff>187959</xdr:rowOff>
    </xdr:to>
    <xdr:pic>
      <xdr:nvPicPr>
        <xdr:cNvPr id="32" name="Billede 31">
          <a:hlinkClick xmlns:r="http://schemas.openxmlformats.org/officeDocument/2006/relationships" r:id="rId29"/>
          <a:extLst>
            <a:ext uri="{FF2B5EF4-FFF2-40B4-BE49-F238E27FC236}">
              <a16:creationId xmlns:a16="http://schemas.microsoft.com/office/drawing/2014/main" id="{00000000-0008-0000-0300-000020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6083300"/>
          <a:ext cx="619125" cy="187959"/>
        </a:xfrm>
        <a:prstGeom prst="rect">
          <a:avLst/>
        </a:prstGeom>
      </xdr:spPr>
    </xdr:pic>
    <xdr:clientData/>
  </xdr:twoCellAnchor>
  <xdr:twoCellAnchor editAs="oneCell">
    <xdr:from>
      <xdr:col>0</xdr:col>
      <xdr:colOff>0</xdr:colOff>
      <xdr:row>49</xdr:row>
      <xdr:rowOff>0</xdr:rowOff>
    </xdr:from>
    <xdr:to>
      <xdr:col>1</xdr:col>
      <xdr:colOff>428625</xdr:colOff>
      <xdr:row>49</xdr:row>
      <xdr:rowOff>187959</xdr:rowOff>
    </xdr:to>
    <xdr:pic>
      <xdr:nvPicPr>
        <xdr:cNvPr id="33" name="Billede 32">
          <a:hlinkClick xmlns:r="http://schemas.openxmlformats.org/officeDocument/2006/relationships" r:id="rId30"/>
          <a:extLst>
            <a:ext uri="{FF2B5EF4-FFF2-40B4-BE49-F238E27FC236}">
              <a16:creationId xmlns:a16="http://schemas.microsoft.com/office/drawing/2014/main" id="{00000000-0008-0000-0300-000021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5918200"/>
          <a:ext cx="619125" cy="187959"/>
        </a:xfrm>
        <a:prstGeom prst="rect">
          <a:avLst/>
        </a:prstGeom>
      </xdr:spPr>
    </xdr:pic>
    <xdr:clientData/>
  </xdr:twoCellAnchor>
  <xdr:twoCellAnchor editAs="oneCell">
    <xdr:from>
      <xdr:col>0</xdr:col>
      <xdr:colOff>0</xdr:colOff>
      <xdr:row>51</xdr:row>
      <xdr:rowOff>0</xdr:rowOff>
    </xdr:from>
    <xdr:to>
      <xdr:col>1</xdr:col>
      <xdr:colOff>428625</xdr:colOff>
      <xdr:row>51</xdr:row>
      <xdr:rowOff>187959</xdr:rowOff>
    </xdr:to>
    <xdr:pic>
      <xdr:nvPicPr>
        <xdr:cNvPr id="34" name="Billede 33">
          <a:hlinkClick xmlns:r="http://schemas.openxmlformats.org/officeDocument/2006/relationships" r:id="rId31"/>
          <a:extLst>
            <a:ext uri="{FF2B5EF4-FFF2-40B4-BE49-F238E27FC236}">
              <a16:creationId xmlns:a16="http://schemas.microsoft.com/office/drawing/2014/main" id="{00000000-0008-0000-0300-000022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6248400"/>
          <a:ext cx="619125" cy="187959"/>
        </a:xfrm>
        <a:prstGeom prst="rect">
          <a:avLst/>
        </a:prstGeom>
      </xdr:spPr>
    </xdr:pic>
    <xdr:clientData/>
  </xdr:twoCellAnchor>
  <xdr:twoCellAnchor editAs="oneCell">
    <xdr:from>
      <xdr:col>0</xdr:col>
      <xdr:colOff>0</xdr:colOff>
      <xdr:row>52</xdr:row>
      <xdr:rowOff>177800</xdr:rowOff>
    </xdr:from>
    <xdr:to>
      <xdr:col>1</xdr:col>
      <xdr:colOff>428625</xdr:colOff>
      <xdr:row>53</xdr:row>
      <xdr:rowOff>162560</xdr:rowOff>
    </xdr:to>
    <xdr:pic>
      <xdr:nvPicPr>
        <xdr:cNvPr id="35" name="Billede 34">
          <a:hlinkClick xmlns:r="http://schemas.openxmlformats.org/officeDocument/2006/relationships" r:id="rId32"/>
          <a:extLst>
            <a:ext uri="{FF2B5EF4-FFF2-40B4-BE49-F238E27FC236}">
              <a16:creationId xmlns:a16="http://schemas.microsoft.com/office/drawing/2014/main" id="{00000000-0008-0000-0300-000023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7302500"/>
          <a:ext cx="619125" cy="187959"/>
        </a:xfrm>
        <a:prstGeom prst="rect">
          <a:avLst/>
        </a:prstGeom>
      </xdr:spPr>
    </xdr:pic>
    <xdr:clientData/>
  </xdr:twoCellAnchor>
  <xdr:twoCellAnchor editAs="oneCell">
    <xdr:from>
      <xdr:col>0</xdr:col>
      <xdr:colOff>0</xdr:colOff>
      <xdr:row>57</xdr:row>
      <xdr:rowOff>0</xdr:rowOff>
    </xdr:from>
    <xdr:to>
      <xdr:col>1</xdr:col>
      <xdr:colOff>428625</xdr:colOff>
      <xdr:row>57</xdr:row>
      <xdr:rowOff>187959</xdr:rowOff>
    </xdr:to>
    <xdr:pic>
      <xdr:nvPicPr>
        <xdr:cNvPr id="36" name="Billede 35">
          <a:hlinkClick xmlns:r="http://schemas.openxmlformats.org/officeDocument/2006/relationships" r:id="rId15"/>
          <a:extLst>
            <a:ext uri="{FF2B5EF4-FFF2-40B4-BE49-F238E27FC236}">
              <a16:creationId xmlns:a16="http://schemas.microsoft.com/office/drawing/2014/main" id="{00000000-0008-0000-0300-000024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7099300"/>
          <a:ext cx="619125" cy="187959"/>
        </a:xfrm>
        <a:prstGeom prst="rect">
          <a:avLst/>
        </a:prstGeom>
      </xdr:spPr>
    </xdr:pic>
    <xdr:clientData/>
  </xdr:twoCellAnchor>
  <xdr:twoCellAnchor editAs="oneCell">
    <xdr:from>
      <xdr:col>0</xdr:col>
      <xdr:colOff>0</xdr:colOff>
      <xdr:row>60</xdr:row>
      <xdr:rowOff>0</xdr:rowOff>
    </xdr:from>
    <xdr:to>
      <xdr:col>1</xdr:col>
      <xdr:colOff>428625</xdr:colOff>
      <xdr:row>61</xdr:row>
      <xdr:rowOff>1</xdr:rowOff>
    </xdr:to>
    <xdr:pic>
      <xdr:nvPicPr>
        <xdr:cNvPr id="37" name="Billede 36">
          <a:hlinkClick xmlns:r="http://schemas.openxmlformats.org/officeDocument/2006/relationships" r:id="rId32"/>
          <a:extLst>
            <a:ext uri="{FF2B5EF4-FFF2-40B4-BE49-F238E27FC236}">
              <a16:creationId xmlns:a16="http://schemas.microsoft.com/office/drawing/2014/main" id="{00000000-0008-0000-0300-000025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8343900"/>
          <a:ext cx="619125" cy="203200"/>
        </a:xfrm>
        <a:prstGeom prst="rect">
          <a:avLst/>
        </a:prstGeom>
      </xdr:spPr>
    </xdr:pic>
    <xdr:clientData/>
  </xdr:twoCellAnchor>
  <xdr:twoCellAnchor editAs="oneCell">
    <xdr:from>
      <xdr:col>0</xdr:col>
      <xdr:colOff>0</xdr:colOff>
      <xdr:row>69</xdr:row>
      <xdr:rowOff>0</xdr:rowOff>
    </xdr:from>
    <xdr:to>
      <xdr:col>1</xdr:col>
      <xdr:colOff>428625</xdr:colOff>
      <xdr:row>69</xdr:row>
      <xdr:rowOff>197484</xdr:rowOff>
    </xdr:to>
    <xdr:pic>
      <xdr:nvPicPr>
        <xdr:cNvPr id="39" name="Billede 38">
          <a:hlinkClick xmlns:r="http://schemas.openxmlformats.org/officeDocument/2006/relationships" r:id="rId33"/>
          <a:extLst>
            <a:ext uri="{FF2B5EF4-FFF2-40B4-BE49-F238E27FC236}">
              <a16:creationId xmlns:a16="http://schemas.microsoft.com/office/drawing/2014/main" id="{00000000-0008-0000-0300-000027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10109200"/>
          <a:ext cx="619125" cy="197484"/>
        </a:xfrm>
        <a:prstGeom prst="rect">
          <a:avLst/>
        </a:prstGeom>
      </xdr:spPr>
    </xdr:pic>
    <xdr:clientData/>
  </xdr:twoCellAnchor>
  <xdr:twoCellAnchor editAs="oneCell">
    <xdr:from>
      <xdr:col>0</xdr:col>
      <xdr:colOff>0</xdr:colOff>
      <xdr:row>71</xdr:row>
      <xdr:rowOff>0</xdr:rowOff>
    </xdr:from>
    <xdr:to>
      <xdr:col>1</xdr:col>
      <xdr:colOff>428625</xdr:colOff>
      <xdr:row>71</xdr:row>
      <xdr:rowOff>197484</xdr:rowOff>
    </xdr:to>
    <xdr:pic>
      <xdr:nvPicPr>
        <xdr:cNvPr id="40" name="Billede 39">
          <a:hlinkClick xmlns:r="http://schemas.openxmlformats.org/officeDocument/2006/relationships" r:id="rId34"/>
          <a:extLst>
            <a:ext uri="{FF2B5EF4-FFF2-40B4-BE49-F238E27FC236}">
              <a16:creationId xmlns:a16="http://schemas.microsoft.com/office/drawing/2014/main" id="{00000000-0008-0000-0300-000028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10515600"/>
          <a:ext cx="619125" cy="197484"/>
        </a:xfrm>
        <a:prstGeom prst="rect">
          <a:avLst/>
        </a:prstGeom>
      </xdr:spPr>
    </xdr:pic>
    <xdr:clientData/>
  </xdr:twoCellAnchor>
  <xdr:twoCellAnchor editAs="oneCell">
    <xdr:from>
      <xdr:col>0</xdr:col>
      <xdr:colOff>12700</xdr:colOff>
      <xdr:row>73</xdr:row>
      <xdr:rowOff>0</xdr:rowOff>
    </xdr:from>
    <xdr:to>
      <xdr:col>1</xdr:col>
      <xdr:colOff>441325</xdr:colOff>
      <xdr:row>73</xdr:row>
      <xdr:rowOff>187959</xdr:rowOff>
    </xdr:to>
    <xdr:pic>
      <xdr:nvPicPr>
        <xdr:cNvPr id="41" name="Billede 40">
          <a:hlinkClick xmlns:r="http://schemas.openxmlformats.org/officeDocument/2006/relationships" r:id="rId35"/>
          <a:extLst>
            <a:ext uri="{FF2B5EF4-FFF2-40B4-BE49-F238E27FC236}">
              <a16:creationId xmlns:a16="http://schemas.microsoft.com/office/drawing/2014/main" id="{00000000-0008-0000-0300-000029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2700" y="10922000"/>
          <a:ext cx="619125" cy="187959"/>
        </a:xfrm>
        <a:prstGeom prst="rect">
          <a:avLst/>
        </a:prstGeom>
      </xdr:spPr>
    </xdr:pic>
    <xdr:clientData/>
  </xdr:twoCellAnchor>
  <xdr:twoCellAnchor editAs="oneCell">
    <xdr:from>
      <xdr:col>0</xdr:col>
      <xdr:colOff>0</xdr:colOff>
      <xdr:row>80</xdr:row>
      <xdr:rowOff>12700</xdr:rowOff>
    </xdr:from>
    <xdr:to>
      <xdr:col>1</xdr:col>
      <xdr:colOff>428625</xdr:colOff>
      <xdr:row>81</xdr:row>
      <xdr:rowOff>1878</xdr:rowOff>
    </xdr:to>
    <xdr:pic>
      <xdr:nvPicPr>
        <xdr:cNvPr id="42" name="Billede 41">
          <a:hlinkClick xmlns:r="http://schemas.openxmlformats.org/officeDocument/2006/relationships" r:id="rId36"/>
          <a:extLst>
            <a:ext uri="{FF2B5EF4-FFF2-40B4-BE49-F238E27FC236}">
              <a16:creationId xmlns:a16="http://schemas.microsoft.com/office/drawing/2014/main" id="{00000000-0008-0000-0300-00002A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12357100"/>
          <a:ext cx="619125" cy="187959"/>
        </a:xfrm>
        <a:prstGeom prst="rect">
          <a:avLst/>
        </a:prstGeom>
      </xdr:spPr>
    </xdr:pic>
    <xdr:clientData/>
  </xdr:twoCellAnchor>
  <xdr:twoCellAnchor editAs="oneCell">
    <xdr:from>
      <xdr:col>0</xdr:col>
      <xdr:colOff>0</xdr:colOff>
      <xdr:row>75</xdr:row>
      <xdr:rowOff>0</xdr:rowOff>
    </xdr:from>
    <xdr:to>
      <xdr:col>1</xdr:col>
      <xdr:colOff>428625</xdr:colOff>
      <xdr:row>75</xdr:row>
      <xdr:rowOff>187959</xdr:rowOff>
    </xdr:to>
    <xdr:pic>
      <xdr:nvPicPr>
        <xdr:cNvPr id="43" name="Billede 42">
          <a:hlinkClick xmlns:r="http://schemas.openxmlformats.org/officeDocument/2006/relationships" r:id="rId37"/>
          <a:extLst>
            <a:ext uri="{FF2B5EF4-FFF2-40B4-BE49-F238E27FC236}">
              <a16:creationId xmlns:a16="http://schemas.microsoft.com/office/drawing/2014/main" id="{00000000-0008-0000-0300-00002B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11328400"/>
          <a:ext cx="619125" cy="187959"/>
        </a:xfrm>
        <a:prstGeom prst="rect">
          <a:avLst/>
        </a:prstGeom>
      </xdr:spPr>
    </xdr:pic>
    <xdr:clientData/>
  </xdr:twoCellAnchor>
  <xdr:twoCellAnchor editAs="oneCell">
    <xdr:from>
      <xdr:col>0</xdr:col>
      <xdr:colOff>0</xdr:colOff>
      <xdr:row>33</xdr:row>
      <xdr:rowOff>0</xdr:rowOff>
    </xdr:from>
    <xdr:to>
      <xdr:col>1</xdr:col>
      <xdr:colOff>428625</xdr:colOff>
      <xdr:row>33</xdr:row>
      <xdr:rowOff>187959</xdr:rowOff>
    </xdr:to>
    <xdr:pic>
      <xdr:nvPicPr>
        <xdr:cNvPr id="44" name="Billede 43">
          <a:hlinkClick xmlns:r="http://schemas.openxmlformats.org/officeDocument/2006/relationships" r:id="rId38"/>
          <a:extLst>
            <a:ext uri="{FF2B5EF4-FFF2-40B4-BE49-F238E27FC236}">
              <a16:creationId xmlns:a16="http://schemas.microsoft.com/office/drawing/2014/main" id="{00000000-0008-0000-0300-00002C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4251739"/>
          <a:ext cx="616364" cy="187959"/>
        </a:xfrm>
        <a:prstGeom prst="rect">
          <a:avLst/>
        </a:prstGeom>
      </xdr:spPr>
    </xdr:pic>
    <xdr:clientData/>
  </xdr:twoCellAnchor>
  <xdr:twoCellAnchor editAs="oneCell">
    <xdr:from>
      <xdr:col>0</xdr:col>
      <xdr:colOff>0</xdr:colOff>
      <xdr:row>37</xdr:row>
      <xdr:rowOff>11044</xdr:rowOff>
    </xdr:from>
    <xdr:to>
      <xdr:col>1</xdr:col>
      <xdr:colOff>428625</xdr:colOff>
      <xdr:row>38</xdr:row>
      <xdr:rowOff>3396</xdr:rowOff>
    </xdr:to>
    <xdr:pic>
      <xdr:nvPicPr>
        <xdr:cNvPr id="45" name="Billede 44">
          <a:hlinkClick xmlns:r="http://schemas.openxmlformats.org/officeDocument/2006/relationships" r:id="rId39"/>
          <a:extLst>
            <a:ext uri="{FF2B5EF4-FFF2-40B4-BE49-F238E27FC236}">
              <a16:creationId xmlns:a16="http://schemas.microsoft.com/office/drawing/2014/main" id="{00000000-0008-0000-0300-00002D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4660348"/>
          <a:ext cx="616364" cy="191134"/>
        </a:xfrm>
        <a:prstGeom prst="rect">
          <a:avLst/>
        </a:prstGeom>
      </xdr:spPr>
    </xdr:pic>
    <xdr:clientData/>
  </xdr:twoCellAnchor>
  <xdr:twoCellAnchor editAs="oneCell">
    <xdr:from>
      <xdr:col>0</xdr:col>
      <xdr:colOff>0</xdr:colOff>
      <xdr:row>41</xdr:row>
      <xdr:rowOff>0</xdr:rowOff>
    </xdr:from>
    <xdr:to>
      <xdr:col>1</xdr:col>
      <xdr:colOff>428625</xdr:colOff>
      <xdr:row>41</xdr:row>
      <xdr:rowOff>197484</xdr:rowOff>
    </xdr:to>
    <xdr:pic>
      <xdr:nvPicPr>
        <xdr:cNvPr id="46" name="Billede 45">
          <a:hlinkClick xmlns:r="http://schemas.openxmlformats.org/officeDocument/2006/relationships" r:id="rId40"/>
          <a:extLst>
            <a:ext uri="{FF2B5EF4-FFF2-40B4-BE49-F238E27FC236}">
              <a16:creationId xmlns:a16="http://schemas.microsoft.com/office/drawing/2014/main" id="{00000000-0008-0000-0300-00002E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4848087"/>
          <a:ext cx="616364" cy="197484"/>
        </a:xfrm>
        <a:prstGeom prst="rect">
          <a:avLst/>
        </a:prstGeom>
      </xdr:spPr>
    </xdr:pic>
    <xdr:clientData/>
  </xdr:twoCellAnchor>
  <xdr:twoCellAnchor editAs="oneCell">
    <xdr:from>
      <xdr:col>0</xdr:col>
      <xdr:colOff>0</xdr:colOff>
      <xdr:row>39</xdr:row>
      <xdr:rowOff>11044</xdr:rowOff>
    </xdr:from>
    <xdr:to>
      <xdr:col>1</xdr:col>
      <xdr:colOff>428625</xdr:colOff>
      <xdr:row>40</xdr:row>
      <xdr:rowOff>3395</xdr:rowOff>
    </xdr:to>
    <xdr:pic>
      <xdr:nvPicPr>
        <xdr:cNvPr id="47" name="Billede 46">
          <a:hlinkClick xmlns:r="http://schemas.openxmlformats.org/officeDocument/2006/relationships" r:id="rId41"/>
          <a:extLst>
            <a:ext uri="{FF2B5EF4-FFF2-40B4-BE49-F238E27FC236}">
              <a16:creationId xmlns:a16="http://schemas.microsoft.com/office/drawing/2014/main" id="{00000000-0008-0000-0300-00002F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4660348"/>
          <a:ext cx="616364" cy="191134"/>
        </a:xfrm>
        <a:prstGeom prst="rect">
          <a:avLst/>
        </a:prstGeom>
      </xdr:spPr>
    </xdr:pic>
    <xdr:clientData/>
  </xdr:twoCellAnchor>
  <xdr:twoCellAnchor editAs="oneCell">
    <xdr:from>
      <xdr:col>0</xdr:col>
      <xdr:colOff>0</xdr:colOff>
      <xdr:row>34</xdr:row>
      <xdr:rowOff>0</xdr:rowOff>
    </xdr:from>
    <xdr:to>
      <xdr:col>1</xdr:col>
      <xdr:colOff>428625</xdr:colOff>
      <xdr:row>34</xdr:row>
      <xdr:rowOff>187959</xdr:rowOff>
    </xdr:to>
    <xdr:pic>
      <xdr:nvPicPr>
        <xdr:cNvPr id="48" name="Billede 47">
          <a:hlinkClick xmlns:r="http://schemas.openxmlformats.org/officeDocument/2006/relationships" r:id="rId42"/>
          <a:extLst>
            <a:ext uri="{FF2B5EF4-FFF2-40B4-BE49-F238E27FC236}">
              <a16:creationId xmlns:a16="http://schemas.microsoft.com/office/drawing/2014/main" id="{00000000-0008-0000-0300-000030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4052957"/>
          <a:ext cx="616364" cy="187959"/>
        </a:xfrm>
        <a:prstGeom prst="rect">
          <a:avLst/>
        </a:prstGeom>
      </xdr:spPr>
    </xdr:pic>
    <xdr:clientData/>
  </xdr:twoCellAnchor>
  <xdr:twoCellAnchor editAs="oneCell">
    <xdr:from>
      <xdr:col>0</xdr:col>
      <xdr:colOff>0</xdr:colOff>
      <xdr:row>35</xdr:row>
      <xdr:rowOff>0</xdr:rowOff>
    </xdr:from>
    <xdr:to>
      <xdr:col>1</xdr:col>
      <xdr:colOff>428625</xdr:colOff>
      <xdr:row>35</xdr:row>
      <xdr:rowOff>187959</xdr:rowOff>
    </xdr:to>
    <xdr:pic>
      <xdr:nvPicPr>
        <xdr:cNvPr id="49" name="Billede 48">
          <a:hlinkClick xmlns:r="http://schemas.openxmlformats.org/officeDocument/2006/relationships" r:id="rId43"/>
          <a:extLst>
            <a:ext uri="{FF2B5EF4-FFF2-40B4-BE49-F238E27FC236}">
              <a16:creationId xmlns:a16="http://schemas.microsoft.com/office/drawing/2014/main" id="{00000000-0008-0000-0300-000031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4251739"/>
          <a:ext cx="616364" cy="187959"/>
        </a:xfrm>
        <a:prstGeom prst="rect">
          <a:avLst/>
        </a:prstGeom>
      </xdr:spPr>
    </xdr:pic>
    <xdr:clientData/>
  </xdr:twoCellAnchor>
  <xdr:twoCellAnchor editAs="oneCell">
    <xdr:from>
      <xdr:col>0</xdr:col>
      <xdr:colOff>0</xdr:colOff>
      <xdr:row>27</xdr:row>
      <xdr:rowOff>0</xdr:rowOff>
    </xdr:from>
    <xdr:to>
      <xdr:col>1</xdr:col>
      <xdr:colOff>428625</xdr:colOff>
      <xdr:row>27</xdr:row>
      <xdr:rowOff>187959</xdr:rowOff>
    </xdr:to>
    <xdr:pic>
      <xdr:nvPicPr>
        <xdr:cNvPr id="50" name="Billede 49">
          <a:hlinkClick xmlns:r="http://schemas.openxmlformats.org/officeDocument/2006/relationships" r:id="rId44"/>
          <a:extLst>
            <a:ext uri="{FF2B5EF4-FFF2-40B4-BE49-F238E27FC236}">
              <a16:creationId xmlns:a16="http://schemas.microsoft.com/office/drawing/2014/main" id="{00000000-0008-0000-0300-000032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3257826"/>
          <a:ext cx="616364" cy="187959"/>
        </a:xfrm>
        <a:prstGeom prst="rect">
          <a:avLst/>
        </a:prstGeom>
      </xdr:spPr>
    </xdr:pic>
    <xdr:clientData/>
  </xdr:twoCellAnchor>
  <xdr:twoCellAnchor editAs="oneCell">
    <xdr:from>
      <xdr:col>0</xdr:col>
      <xdr:colOff>0</xdr:colOff>
      <xdr:row>16</xdr:row>
      <xdr:rowOff>0</xdr:rowOff>
    </xdr:from>
    <xdr:to>
      <xdr:col>1</xdr:col>
      <xdr:colOff>428625</xdr:colOff>
      <xdr:row>17</xdr:row>
      <xdr:rowOff>21201</xdr:rowOff>
    </xdr:to>
    <xdr:pic>
      <xdr:nvPicPr>
        <xdr:cNvPr id="52" name="Billede 51">
          <a:hlinkClick xmlns:r="http://schemas.openxmlformats.org/officeDocument/2006/relationships" r:id="rId45"/>
          <a:extLst>
            <a:ext uri="{FF2B5EF4-FFF2-40B4-BE49-F238E27FC236}">
              <a16:creationId xmlns:a16="http://schemas.microsoft.com/office/drawing/2014/main" id="{00000000-0008-0000-0300-000034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3434522"/>
          <a:ext cx="616364" cy="186854"/>
        </a:xfrm>
        <a:prstGeom prst="rect">
          <a:avLst/>
        </a:prstGeom>
      </xdr:spPr>
    </xdr:pic>
    <xdr:clientData/>
  </xdr:twoCellAnchor>
  <xdr:twoCellAnchor editAs="oneCell">
    <xdr:from>
      <xdr:col>0</xdr:col>
      <xdr:colOff>0</xdr:colOff>
      <xdr:row>18</xdr:row>
      <xdr:rowOff>11044</xdr:rowOff>
    </xdr:from>
    <xdr:to>
      <xdr:col>1</xdr:col>
      <xdr:colOff>428625</xdr:colOff>
      <xdr:row>19</xdr:row>
      <xdr:rowOff>220</xdr:rowOff>
    </xdr:to>
    <xdr:pic>
      <xdr:nvPicPr>
        <xdr:cNvPr id="51" name="Billede 50">
          <a:hlinkClick xmlns:r="http://schemas.openxmlformats.org/officeDocument/2006/relationships" r:id="rId46"/>
          <a:extLst>
            <a:ext uri="{FF2B5EF4-FFF2-40B4-BE49-F238E27FC236}">
              <a16:creationId xmlns:a16="http://schemas.microsoft.com/office/drawing/2014/main" id="{00000000-0008-0000-0300-000033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3964609"/>
          <a:ext cx="616364" cy="187959"/>
        </a:xfrm>
        <a:prstGeom prst="rect">
          <a:avLst/>
        </a:prstGeom>
      </xdr:spPr>
    </xdr:pic>
    <xdr:clientData/>
  </xdr:twoCellAnchor>
  <xdr:twoCellAnchor editAs="oneCell">
    <xdr:from>
      <xdr:col>0</xdr:col>
      <xdr:colOff>0</xdr:colOff>
      <xdr:row>19</xdr:row>
      <xdr:rowOff>19878</xdr:rowOff>
    </xdr:from>
    <xdr:to>
      <xdr:col>1</xdr:col>
      <xdr:colOff>428625</xdr:colOff>
      <xdr:row>20</xdr:row>
      <xdr:rowOff>9056</xdr:rowOff>
    </xdr:to>
    <xdr:pic>
      <xdr:nvPicPr>
        <xdr:cNvPr id="53" name="Billede 52">
          <a:hlinkClick xmlns:r="http://schemas.openxmlformats.org/officeDocument/2006/relationships" r:id="rId47"/>
          <a:extLst>
            <a:ext uri="{FF2B5EF4-FFF2-40B4-BE49-F238E27FC236}">
              <a16:creationId xmlns:a16="http://schemas.microsoft.com/office/drawing/2014/main" id="{00000000-0008-0000-0300-000035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4172226"/>
          <a:ext cx="616364" cy="187959"/>
        </a:xfrm>
        <a:prstGeom prst="rect">
          <a:avLst/>
        </a:prstGeom>
      </xdr:spPr>
    </xdr:pic>
    <xdr:clientData/>
  </xdr:twoCellAnchor>
  <xdr:twoCellAnchor editAs="oneCell">
    <xdr:from>
      <xdr:col>0</xdr:col>
      <xdr:colOff>0</xdr:colOff>
      <xdr:row>20</xdr:row>
      <xdr:rowOff>0</xdr:rowOff>
    </xdr:from>
    <xdr:to>
      <xdr:col>1</xdr:col>
      <xdr:colOff>428625</xdr:colOff>
      <xdr:row>20</xdr:row>
      <xdr:rowOff>187959</xdr:rowOff>
    </xdr:to>
    <xdr:pic>
      <xdr:nvPicPr>
        <xdr:cNvPr id="54" name="Billede 53">
          <a:hlinkClick xmlns:r="http://schemas.openxmlformats.org/officeDocument/2006/relationships" r:id="rId48"/>
          <a:extLst>
            <a:ext uri="{FF2B5EF4-FFF2-40B4-BE49-F238E27FC236}">
              <a16:creationId xmlns:a16="http://schemas.microsoft.com/office/drawing/2014/main" id="{00000000-0008-0000-0300-000036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4351130"/>
          <a:ext cx="616364" cy="187959"/>
        </a:xfrm>
        <a:prstGeom prst="rect">
          <a:avLst/>
        </a:prstGeom>
      </xdr:spPr>
    </xdr:pic>
    <xdr:clientData/>
  </xdr:twoCellAnchor>
  <xdr:twoCellAnchor editAs="oneCell">
    <xdr:from>
      <xdr:col>0</xdr:col>
      <xdr:colOff>0</xdr:colOff>
      <xdr:row>23</xdr:row>
      <xdr:rowOff>33130</xdr:rowOff>
    </xdr:from>
    <xdr:to>
      <xdr:col>1</xdr:col>
      <xdr:colOff>428625</xdr:colOff>
      <xdr:row>24</xdr:row>
      <xdr:rowOff>22306</xdr:rowOff>
    </xdr:to>
    <xdr:pic>
      <xdr:nvPicPr>
        <xdr:cNvPr id="55" name="Billede 54">
          <a:hlinkClick xmlns:r="http://schemas.openxmlformats.org/officeDocument/2006/relationships" r:id="rId49"/>
          <a:extLst>
            <a:ext uri="{FF2B5EF4-FFF2-40B4-BE49-F238E27FC236}">
              <a16:creationId xmlns:a16="http://schemas.microsoft.com/office/drawing/2014/main" id="{00000000-0008-0000-0300-000037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4980608"/>
          <a:ext cx="616364" cy="187959"/>
        </a:xfrm>
        <a:prstGeom prst="rect">
          <a:avLst/>
        </a:prstGeom>
      </xdr:spPr>
    </xdr:pic>
    <xdr:clientData/>
  </xdr:twoCellAnchor>
  <xdr:twoCellAnchor editAs="oneCell">
    <xdr:from>
      <xdr:col>0</xdr:col>
      <xdr:colOff>0</xdr:colOff>
      <xdr:row>24</xdr:row>
      <xdr:rowOff>22087</xdr:rowOff>
    </xdr:from>
    <xdr:to>
      <xdr:col>1</xdr:col>
      <xdr:colOff>428625</xdr:colOff>
      <xdr:row>25</xdr:row>
      <xdr:rowOff>11265</xdr:rowOff>
    </xdr:to>
    <xdr:pic>
      <xdr:nvPicPr>
        <xdr:cNvPr id="56" name="Billede 55">
          <a:hlinkClick xmlns:r="http://schemas.openxmlformats.org/officeDocument/2006/relationships" r:id="rId10"/>
          <a:extLst>
            <a:ext uri="{FF2B5EF4-FFF2-40B4-BE49-F238E27FC236}">
              <a16:creationId xmlns:a16="http://schemas.microsoft.com/office/drawing/2014/main" id="{00000000-0008-0000-0300-000038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5168348"/>
          <a:ext cx="616364" cy="187959"/>
        </a:xfrm>
        <a:prstGeom prst="rect">
          <a:avLst/>
        </a:prstGeom>
      </xdr:spPr>
    </xdr:pic>
    <xdr:clientData/>
  </xdr:twoCellAnchor>
  <xdr:twoCellAnchor editAs="oneCell">
    <xdr:from>
      <xdr:col>0</xdr:col>
      <xdr:colOff>0</xdr:colOff>
      <xdr:row>25</xdr:row>
      <xdr:rowOff>11044</xdr:rowOff>
    </xdr:from>
    <xdr:to>
      <xdr:col>1</xdr:col>
      <xdr:colOff>428625</xdr:colOff>
      <xdr:row>26</xdr:row>
      <xdr:rowOff>220</xdr:rowOff>
    </xdr:to>
    <xdr:pic>
      <xdr:nvPicPr>
        <xdr:cNvPr id="57" name="Billede 56">
          <a:hlinkClick xmlns:r="http://schemas.openxmlformats.org/officeDocument/2006/relationships" r:id="rId46"/>
          <a:extLst>
            <a:ext uri="{FF2B5EF4-FFF2-40B4-BE49-F238E27FC236}">
              <a16:creationId xmlns:a16="http://schemas.microsoft.com/office/drawing/2014/main" id="{00000000-0008-0000-0300-000039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5356087"/>
          <a:ext cx="616364" cy="187959"/>
        </a:xfrm>
        <a:prstGeom prst="rect">
          <a:avLst/>
        </a:prstGeom>
      </xdr:spPr>
    </xdr:pic>
    <xdr:clientData/>
  </xdr:twoCellAnchor>
  <xdr:twoCellAnchor editAs="oneCell">
    <xdr:from>
      <xdr:col>0</xdr:col>
      <xdr:colOff>0</xdr:colOff>
      <xdr:row>26</xdr:row>
      <xdr:rowOff>0</xdr:rowOff>
    </xdr:from>
    <xdr:to>
      <xdr:col>1</xdr:col>
      <xdr:colOff>428625</xdr:colOff>
      <xdr:row>27</xdr:row>
      <xdr:rowOff>96</xdr:rowOff>
    </xdr:to>
    <xdr:pic>
      <xdr:nvPicPr>
        <xdr:cNvPr id="58" name="Billede 57">
          <a:hlinkClick xmlns:r="http://schemas.openxmlformats.org/officeDocument/2006/relationships" r:id="rId47"/>
          <a:extLst>
            <a:ext uri="{FF2B5EF4-FFF2-40B4-BE49-F238E27FC236}">
              <a16:creationId xmlns:a16="http://schemas.microsoft.com/office/drawing/2014/main" id="{00000000-0008-0000-0300-00003A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5543826"/>
          <a:ext cx="616364" cy="198783"/>
        </a:xfrm>
        <a:prstGeom prst="rect">
          <a:avLst/>
        </a:prstGeom>
      </xdr:spPr>
    </xdr:pic>
    <xdr:clientData/>
  </xdr:twoCellAnchor>
  <xdr:twoCellAnchor editAs="oneCell">
    <xdr:from>
      <xdr:col>0</xdr:col>
      <xdr:colOff>0</xdr:colOff>
      <xdr:row>22</xdr:row>
      <xdr:rowOff>33130</xdr:rowOff>
    </xdr:from>
    <xdr:to>
      <xdr:col>1</xdr:col>
      <xdr:colOff>428625</xdr:colOff>
      <xdr:row>23</xdr:row>
      <xdr:rowOff>22307</xdr:rowOff>
    </xdr:to>
    <xdr:pic>
      <xdr:nvPicPr>
        <xdr:cNvPr id="59" name="Billede 58">
          <a:hlinkClick xmlns:r="http://schemas.openxmlformats.org/officeDocument/2006/relationships" r:id="rId50"/>
          <a:extLst>
            <a:ext uri="{FF2B5EF4-FFF2-40B4-BE49-F238E27FC236}">
              <a16:creationId xmlns:a16="http://schemas.microsoft.com/office/drawing/2014/main" id="{00000000-0008-0000-0300-00003B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4781826"/>
          <a:ext cx="616364" cy="187959"/>
        </a:xfrm>
        <a:prstGeom prst="rect">
          <a:avLst/>
        </a:prstGeom>
      </xdr:spPr>
    </xdr:pic>
    <xdr:clientData/>
  </xdr:twoCellAnchor>
  <xdr:twoCellAnchor editAs="oneCell">
    <xdr:from>
      <xdr:col>0</xdr:col>
      <xdr:colOff>0</xdr:colOff>
      <xdr:row>40</xdr:row>
      <xdr:rowOff>11044</xdr:rowOff>
    </xdr:from>
    <xdr:to>
      <xdr:col>1</xdr:col>
      <xdr:colOff>428625</xdr:colOff>
      <xdr:row>41</xdr:row>
      <xdr:rowOff>3395</xdr:rowOff>
    </xdr:to>
    <xdr:pic>
      <xdr:nvPicPr>
        <xdr:cNvPr id="60" name="Billede 59">
          <a:hlinkClick xmlns:r="http://schemas.openxmlformats.org/officeDocument/2006/relationships" r:id="rId51"/>
          <a:extLst>
            <a:ext uri="{FF2B5EF4-FFF2-40B4-BE49-F238E27FC236}">
              <a16:creationId xmlns:a16="http://schemas.microsoft.com/office/drawing/2014/main" id="{00000000-0008-0000-0300-00003C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8161131"/>
          <a:ext cx="616364" cy="191134"/>
        </a:xfrm>
        <a:prstGeom prst="rect">
          <a:avLst/>
        </a:prstGeom>
      </xdr:spPr>
    </xdr:pic>
    <xdr:clientData/>
  </xdr:twoCellAnchor>
  <xdr:twoCellAnchor editAs="oneCell">
    <xdr:from>
      <xdr:col>0</xdr:col>
      <xdr:colOff>0</xdr:colOff>
      <xdr:row>59</xdr:row>
      <xdr:rowOff>190500</xdr:rowOff>
    </xdr:from>
    <xdr:to>
      <xdr:col>1</xdr:col>
      <xdr:colOff>428625</xdr:colOff>
      <xdr:row>60</xdr:row>
      <xdr:rowOff>175258</xdr:rowOff>
    </xdr:to>
    <xdr:pic>
      <xdr:nvPicPr>
        <xdr:cNvPr id="61" name="Billede 60">
          <a:hlinkClick xmlns:r="http://schemas.openxmlformats.org/officeDocument/2006/relationships" r:id="rId52"/>
          <a:extLst>
            <a:ext uri="{FF2B5EF4-FFF2-40B4-BE49-F238E27FC236}">
              <a16:creationId xmlns:a16="http://schemas.microsoft.com/office/drawing/2014/main" id="{00000000-0008-0000-0300-00003D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11123543"/>
          <a:ext cx="616364" cy="183542"/>
        </a:xfrm>
        <a:prstGeom prst="rect">
          <a:avLst/>
        </a:prstGeom>
      </xdr:spPr>
    </xdr:pic>
    <xdr:clientData/>
  </xdr:twoCellAnchor>
  <xdr:twoCellAnchor editAs="oneCell">
    <xdr:from>
      <xdr:col>0</xdr:col>
      <xdr:colOff>0</xdr:colOff>
      <xdr:row>58</xdr:row>
      <xdr:rowOff>177800</xdr:rowOff>
    </xdr:from>
    <xdr:to>
      <xdr:col>1</xdr:col>
      <xdr:colOff>428625</xdr:colOff>
      <xdr:row>59</xdr:row>
      <xdr:rowOff>162559</xdr:rowOff>
    </xdr:to>
    <xdr:pic>
      <xdr:nvPicPr>
        <xdr:cNvPr id="62" name="Billede 61">
          <a:hlinkClick xmlns:r="http://schemas.openxmlformats.org/officeDocument/2006/relationships" r:id="rId32"/>
          <a:extLst>
            <a:ext uri="{FF2B5EF4-FFF2-40B4-BE49-F238E27FC236}">
              <a16:creationId xmlns:a16="http://schemas.microsoft.com/office/drawing/2014/main" id="{00000000-0008-0000-0300-00003E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10912061"/>
          <a:ext cx="616364" cy="183541"/>
        </a:xfrm>
        <a:prstGeom prst="rect">
          <a:avLst/>
        </a:prstGeom>
      </xdr:spPr>
    </xdr:pic>
    <xdr:clientData/>
  </xdr:twoCellAnchor>
  <xdr:twoCellAnchor editAs="oneCell">
    <xdr:from>
      <xdr:col>0</xdr:col>
      <xdr:colOff>0</xdr:colOff>
      <xdr:row>55</xdr:row>
      <xdr:rowOff>2760</xdr:rowOff>
    </xdr:from>
    <xdr:to>
      <xdr:col>1</xdr:col>
      <xdr:colOff>428625</xdr:colOff>
      <xdr:row>55</xdr:row>
      <xdr:rowOff>186302</xdr:rowOff>
    </xdr:to>
    <xdr:pic>
      <xdr:nvPicPr>
        <xdr:cNvPr id="63" name="Billede 62">
          <a:hlinkClick xmlns:r="http://schemas.openxmlformats.org/officeDocument/2006/relationships" r:id="rId53"/>
          <a:extLst>
            <a:ext uri="{FF2B5EF4-FFF2-40B4-BE49-F238E27FC236}">
              <a16:creationId xmlns:a16="http://schemas.microsoft.com/office/drawing/2014/main" id="{00000000-0008-0000-0300-00003F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0" y="11333369"/>
          <a:ext cx="616364" cy="183542"/>
        </a:xfrm>
        <a:prstGeom prst="rect">
          <a:avLst/>
        </a:prstGeom>
      </xdr:spPr>
    </xdr:pic>
    <xdr:clientData/>
  </xdr:twoCellAnchor>
  <xdr:twoCellAnchor editAs="oneCell">
    <xdr:from>
      <xdr:col>0</xdr:col>
      <xdr:colOff>12700</xdr:colOff>
      <xdr:row>62</xdr:row>
      <xdr:rowOff>187739</xdr:rowOff>
    </xdr:from>
    <xdr:to>
      <xdr:col>1</xdr:col>
      <xdr:colOff>441325</xdr:colOff>
      <xdr:row>63</xdr:row>
      <xdr:rowOff>176916</xdr:rowOff>
    </xdr:to>
    <xdr:pic>
      <xdr:nvPicPr>
        <xdr:cNvPr id="65" name="Billede 64">
          <a:hlinkClick xmlns:r="http://schemas.openxmlformats.org/officeDocument/2006/relationships" r:id="rId54"/>
          <a:extLst>
            <a:ext uri="{FF2B5EF4-FFF2-40B4-BE49-F238E27FC236}">
              <a16:creationId xmlns:a16="http://schemas.microsoft.com/office/drawing/2014/main" id="{00000000-0008-0000-0300-000041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2700" y="12909826"/>
          <a:ext cx="616364" cy="18795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516472</xdr:colOff>
      <xdr:row>0</xdr:row>
      <xdr:rowOff>9525</xdr:rowOff>
    </xdr:from>
    <xdr:to>
      <xdr:col>4</xdr:col>
      <xdr:colOff>445552</xdr:colOff>
      <xdr:row>0</xdr:row>
      <xdr:rowOff>300634</xdr:rowOff>
    </xdr:to>
    <xdr:pic>
      <xdr:nvPicPr>
        <xdr:cNvPr id="9" name="Billede 8">
          <a:hlinkClick xmlns:r="http://schemas.openxmlformats.org/officeDocument/2006/relationships" r:id="rId1"/>
          <a:extLst>
            <a:ext uri="{FF2B5EF4-FFF2-40B4-BE49-F238E27FC236}">
              <a16:creationId xmlns:a16="http://schemas.microsoft.com/office/drawing/2014/main" id="{00000000-0008-0000-0500-000009000000}"/>
            </a:ext>
          </a:extLst>
        </xdr:cNvPr>
        <xdr:cNvPicPr>
          <a:picLocks noChangeAspect="1"/>
        </xdr:cNvPicPr>
      </xdr:nvPicPr>
      <xdr:blipFill>
        <a:blip xmlns:r="http://schemas.openxmlformats.org/officeDocument/2006/relationships" r:embed="rId2"/>
        <a:srcRect/>
        <a:stretch/>
      </xdr:blipFill>
      <xdr:spPr>
        <a:xfrm>
          <a:off x="2345982" y="9525"/>
          <a:ext cx="1802997" cy="291109"/>
        </a:xfrm>
        <a:prstGeom prst="rect">
          <a:avLst/>
        </a:prstGeom>
      </xdr:spPr>
    </xdr:pic>
    <xdr:clientData/>
  </xdr:twoCellAnchor>
  <xdr:twoCellAnchor editAs="oneCell">
    <xdr:from>
      <xdr:col>0</xdr:col>
      <xdr:colOff>282638</xdr:colOff>
      <xdr:row>0</xdr:row>
      <xdr:rowOff>28575</xdr:rowOff>
    </xdr:from>
    <xdr:to>
      <xdr:col>2</xdr:col>
      <xdr:colOff>3111</xdr:colOff>
      <xdr:row>0</xdr:row>
      <xdr:rowOff>301629</xdr:rowOff>
    </xdr:to>
    <xdr:pic>
      <xdr:nvPicPr>
        <xdr:cNvPr id="10" name="Billede 9">
          <a:hlinkClick xmlns:r="http://schemas.openxmlformats.org/officeDocument/2006/relationships" r:id="rId3"/>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4"/>
        <a:srcRect/>
        <a:stretch/>
      </xdr:blipFill>
      <xdr:spPr>
        <a:xfrm>
          <a:off x="282638" y="28575"/>
          <a:ext cx="1549983" cy="27305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248653</xdr:colOff>
      <xdr:row>0</xdr:row>
      <xdr:rowOff>28575</xdr:rowOff>
    </xdr:from>
    <xdr:to>
      <xdr:col>2</xdr:col>
      <xdr:colOff>443496</xdr:colOff>
      <xdr:row>0</xdr:row>
      <xdr:rowOff>301629</xdr:rowOff>
    </xdr:to>
    <xdr:pic>
      <xdr:nvPicPr>
        <xdr:cNvPr id="13" name="Billede 12">
          <a:hlinkClick xmlns:r="http://schemas.openxmlformats.org/officeDocument/2006/relationships" r:id="rId1"/>
          <a:extLst>
            <a:ext uri="{FF2B5EF4-FFF2-40B4-BE49-F238E27FC236}">
              <a16:creationId xmlns:a16="http://schemas.microsoft.com/office/drawing/2014/main" id="{00000000-0008-0000-0600-00000D000000}"/>
            </a:ext>
          </a:extLst>
        </xdr:cNvPr>
        <xdr:cNvPicPr>
          <a:picLocks noChangeAspect="1"/>
        </xdr:cNvPicPr>
      </xdr:nvPicPr>
      <xdr:blipFill>
        <a:blip xmlns:r="http://schemas.openxmlformats.org/officeDocument/2006/relationships" r:embed="rId2"/>
        <a:srcRect/>
        <a:stretch/>
      </xdr:blipFill>
      <xdr:spPr>
        <a:xfrm>
          <a:off x="248653" y="28575"/>
          <a:ext cx="1549983" cy="273054"/>
        </a:xfrm>
        <a:prstGeom prst="rect">
          <a:avLst/>
        </a:prstGeom>
      </xdr:spPr>
    </xdr:pic>
    <xdr:clientData/>
  </xdr:twoCellAnchor>
  <xdr:twoCellAnchor editAs="oneCell">
    <xdr:from>
      <xdr:col>2</xdr:col>
      <xdr:colOff>753069</xdr:colOff>
      <xdr:row>0</xdr:row>
      <xdr:rowOff>9525</xdr:rowOff>
    </xdr:from>
    <xdr:to>
      <xdr:col>5</xdr:col>
      <xdr:colOff>2621</xdr:colOff>
      <xdr:row>0</xdr:row>
      <xdr:rowOff>300634</xdr:rowOff>
    </xdr:to>
    <xdr:pic>
      <xdr:nvPicPr>
        <xdr:cNvPr id="6" name="Billede 5">
          <a:hlinkClick xmlns:r="http://schemas.openxmlformats.org/officeDocument/2006/relationships" r:id="rId3"/>
          <a:extLst>
            <a:ext uri="{FF2B5EF4-FFF2-40B4-BE49-F238E27FC236}">
              <a16:creationId xmlns:a16="http://schemas.microsoft.com/office/drawing/2014/main" id="{00000000-0008-0000-0600-000006000000}"/>
            </a:ext>
          </a:extLst>
        </xdr:cNvPr>
        <xdr:cNvPicPr>
          <a:picLocks noChangeAspect="1"/>
        </xdr:cNvPicPr>
      </xdr:nvPicPr>
      <xdr:blipFill>
        <a:blip xmlns:r="http://schemas.openxmlformats.org/officeDocument/2006/relationships" r:embed="rId4"/>
        <a:srcRect/>
        <a:stretch/>
      </xdr:blipFill>
      <xdr:spPr>
        <a:xfrm>
          <a:off x="2108209" y="9525"/>
          <a:ext cx="1802997" cy="29110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31</xdr:col>
      <xdr:colOff>1076325</xdr:colOff>
      <xdr:row>25</xdr:row>
      <xdr:rowOff>60325</xdr:rowOff>
    </xdr:from>
    <xdr:to>
      <xdr:col>31</xdr:col>
      <xdr:colOff>1346200</xdr:colOff>
      <xdr:row>34</xdr:row>
      <xdr:rowOff>0</xdr:rowOff>
    </xdr:to>
    <xdr:sp macro="" textlink="">
      <xdr:nvSpPr>
        <xdr:cNvPr id="2" name="AutoShape 1">
          <a:extLst>
            <a:ext uri="{FF2B5EF4-FFF2-40B4-BE49-F238E27FC236}">
              <a16:creationId xmlns:a16="http://schemas.microsoft.com/office/drawing/2014/main" id="{00000000-0008-0000-0800-000002000000}"/>
            </a:ext>
          </a:extLst>
        </xdr:cNvPr>
        <xdr:cNvSpPr>
          <a:spLocks/>
        </xdr:cNvSpPr>
      </xdr:nvSpPr>
      <xdr:spPr bwMode="auto">
        <a:xfrm>
          <a:off x="25028525" y="5203825"/>
          <a:ext cx="269875" cy="2378075"/>
        </a:xfrm>
        <a:prstGeom prst="rightBrace">
          <a:avLst>
            <a:gd name="adj1" fmla="val 82333"/>
            <a:gd name="adj2" fmla="val 50000"/>
          </a:avLst>
        </a:prstGeom>
        <a:noFill/>
        <a:ln w="9525">
          <a:solidFill>
            <a:srgbClr val="000000"/>
          </a:solidFill>
          <a:round/>
          <a:headEnd/>
          <a:tailEnd/>
        </a:ln>
        <a:extLst>
          <a:ext uri="{909E8E84-426E-40dd-AFC4-6F175D3DCCD1}">
            <a14:hiddenFill xmlns:a14="http://schemas.microsoft.com/office/drawing/2010/main" xmlns="">
              <a:solidFill>
                <a:srgbClr val="FFFFFF"/>
              </a:solidFill>
            </a14:hiddenFill>
          </a:ext>
        </a:extLst>
      </xdr:spPr>
    </xdr:sp>
    <xdr:clientData/>
  </xdr:twoCellAnchor>
  <xdr:twoCellAnchor>
    <xdr:from>
      <xdr:col>31</xdr:col>
      <xdr:colOff>1498600</xdr:colOff>
      <xdr:row>26</xdr:row>
      <xdr:rowOff>0</xdr:rowOff>
    </xdr:from>
    <xdr:to>
      <xdr:col>31</xdr:col>
      <xdr:colOff>2672129</xdr:colOff>
      <xdr:row>32</xdr:row>
      <xdr:rowOff>76200</xdr:rowOff>
    </xdr:to>
    <xdr:sp macro="" textlink="">
      <xdr:nvSpPr>
        <xdr:cNvPr id="3" name="Text Box 2">
          <a:extLst>
            <a:ext uri="{FF2B5EF4-FFF2-40B4-BE49-F238E27FC236}">
              <a16:creationId xmlns:a16="http://schemas.microsoft.com/office/drawing/2014/main" id="{00000000-0008-0000-0800-000003000000}"/>
            </a:ext>
          </a:extLst>
        </xdr:cNvPr>
        <xdr:cNvSpPr txBox="1">
          <a:spLocks noChangeArrowheads="1"/>
        </xdr:cNvSpPr>
      </xdr:nvSpPr>
      <xdr:spPr bwMode="auto">
        <a:xfrm>
          <a:off x="11890375" y="4292600"/>
          <a:ext cx="1173529" cy="1612900"/>
        </a:xfrm>
        <a:prstGeom prst="rect">
          <a:avLst/>
        </a:prstGeom>
        <a:solidFill>
          <a:srgbClr val="FFFF99"/>
        </a:solidFill>
        <a:ln w="9525">
          <a:solidFill>
            <a:srgbClr val="000000"/>
          </a:solidFill>
          <a:miter lim="800000"/>
          <a:headEnd/>
          <a:tailEnd/>
        </a:ln>
      </xdr:spPr>
      <xdr:txBody>
        <a:bodyPr vertOverflow="clip" wrap="square" lIns="27432" tIns="18288" rIns="0" bIns="18288" anchor="ctr" upright="1"/>
        <a:lstStyle/>
        <a:p>
          <a:pPr algn="l" rtl="0">
            <a:lnSpc>
              <a:spcPts val="1200"/>
            </a:lnSpc>
            <a:defRPr sz="1000"/>
          </a:pPr>
          <a:r>
            <a:rPr lang="da-DK" sz="1100" b="0" i="0" u="none" strike="noStrike" baseline="0">
              <a:solidFill>
                <a:srgbClr val="000000"/>
              </a:solidFill>
              <a:latin typeface="Verdana"/>
              <a:ea typeface="Verdana"/>
              <a:cs typeface="Verdana"/>
            </a:rPr>
            <a:t>Alle beløb indtastes i 2012</a:t>
          </a:r>
        </a:p>
        <a:p>
          <a:pPr algn="l" rtl="0">
            <a:lnSpc>
              <a:spcPts val="1200"/>
            </a:lnSpc>
            <a:defRPr sz="1000"/>
          </a:pPr>
          <a:r>
            <a:rPr lang="da-DK" sz="1100" b="0" i="0" u="none" strike="noStrike" baseline="0">
              <a:solidFill>
                <a:srgbClr val="000000"/>
              </a:solidFill>
              <a:latin typeface="Verdana"/>
              <a:ea typeface="Verdana"/>
              <a:cs typeface="Verdana"/>
            </a:rPr>
            <a:t>-grundbeløb pr. år, så omregnes de automatisk til aktuel løn pr. md.</a:t>
          </a:r>
        </a:p>
        <a:p>
          <a:pPr algn="l" rtl="0">
            <a:lnSpc>
              <a:spcPts val="1100"/>
            </a:lnSpc>
            <a:defRPr sz="1000"/>
          </a:pPr>
          <a:r>
            <a:rPr lang="da-DK" sz="1100" b="0" i="0" u="none" strike="noStrike" baseline="0">
              <a:solidFill>
                <a:srgbClr val="000000"/>
              </a:solidFill>
              <a:latin typeface="Verdana"/>
              <a:ea typeface="Verdana"/>
              <a:cs typeface="Verdana"/>
            </a:rPr>
            <a:t>Lin. 17-20 ganges med BG!</a:t>
          </a:r>
        </a:p>
      </xdr:txBody>
    </xdr:sp>
    <xdr:clientData/>
  </xdr:twoCellAnchor>
  <xdr:twoCellAnchor editAs="oneCell">
    <xdr:from>
      <xdr:col>0</xdr:col>
      <xdr:colOff>181784</xdr:colOff>
      <xdr:row>0</xdr:row>
      <xdr:rowOff>28575</xdr:rowOff>
    </xdr:from>
    <xdr:to>
      <xdr:col>1</xdr:col>
      <xdr:colOff>1434290</xdr:colOff>
      <xdr:row>0</xdr:row>
      <xdr:rowOff>301629</xdr:rowOff>
    </xdr:to>
    <xdr:pic>
      <xdr:nvPicPr>
        <xdr:cNvPr id="10" name="Billede 9">
          <a:hlinkClick xmlns:r="http://schemas.openxmlformats.org/officeDocument/2006/relationships" r:id="rId1"/>
          <a:extLst>
            <a:ext uri="{FF2B5EF4-FFF2-40B4-BE49-F238E27FC236}">
              <a16:creationId xmlns:a16="http://schemas.microsoft.com/office/drawing/2014/main" id="{00000000-0008-0000-0800-00000A000000}"/>
            </a:ext>
          </a:extLst>
        </xdr:cNvPr>
        <xdr:cNvPicPr>
          <a:picLocks noChangeAspect="1"/>
        </xdr:cNvPicPr>
      </xdr:nvPicPr>
      <xdr:blipFill>
        <a:blip xmlns:r="http://schemas.openxmlformats.org/officeDocument/2006/relationships" r:embed="rId2"/>
        <a:srcRect/>
        <a:stretch/>
      </xdr:blipFill>
      <xdr:spPr>
        <a:xfrm>
          <a:off x="181784" y="28575"/>
          <a:ext cx="1549983" cy="273054"/>
        </a:xfrm>
        <a:prstGeom prst="rect">
          <a:avLst/>
        </a:prstGeom>
      </xdr:spPr>
    </xdr:pic>
    <xdr:clientData/>
  </xdr:twoCellAnchor>
  <xdr:twoCellAnchor editAs="oneCell">
    <xdr:from>
      <xdr:col>1</xdr:col>
      <xdr:colOff>1827414</xdr:colOff>
      <xdr:row>0</xdr:row>
      <xdr:rowOff>9525</xdr:rowOff>
    </xdr:from>
    <xdr:to>
      <xdr:col>1</xdr:col>
      <xdr:colOff>3630411</xdr:colOff>
      <xdr:row>0</xdr:row>
      <xdr:rowOff>300634</xdr:rowOff>
    </xdr:to>
    <xdr:pic>
      <xdr:nvPicPr>
        <xdr:cNvPr id="12" name="Billede 11">
          <a:hlinkClick xmlns:r="http://schemas.openxmlformats.org/officeDocument/2006/relationships" r:id="rId3"/>
          <a:extLst>
            <a:ext uri="{FF2B5EF4-FFF2-40B4-BE49-F238E27FC236}">
              <a16:creationId xmlns:a16="http://schemas.microsoft.com/office/drawing/2014/main" id="{00000000-0008-0000-0800-00000C000000}"/>
            </a:ext>
          </a:extLst>
        </xdr:cNvPr>
        <xdr:cNvPicPr>
          <a:picLocks noChangeAspect="1"/>
        </xdr:cNvPicPr>
      </xdr:nvPicPr>
      <xdr:blipFill>
        <a:blip xmlns:r="http://schemas.openxmlformats.org/officeDocument/2006/relationships" r:embed="rId4"/>
        <a:srcRect/>
        <a:stretch/>
      </xdr:blipFill>
      <xdr:spPr>
        <a:xfrm>
          <a:off x="2124891" y="9525"/>
          <a:ext cx="1802997" cy="29110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179096</xdr:colOff>
      <xdr:row>1</xdr:row>
      <xdr:rowOff>28575</xdr:rowOff>
    </xdr:from>
    <xdr:to>
      <xdr:col>1</xdr:col>
      <xdr:colOff>1449679</xdr:colOff>
      <xdr:row>1</xdr:row>
      <xdr:rowOff>301629</xdr:rowOff>
    </xdr:to>
    <xdr:pic>
      <xdr:nvPicPr>
        <xdr:cNvPr id="8" name="Billede 7">
          <a:hlinkClick xmlns:r="http://schemas.openxmlformats.org/officeDocument/2006/relationships" r:id="rId1"/>
          <a:extLst>
            <a:ext uri="{FF2B5EF4-FFF2-40B4-BE49-F238E27FC236}">
              <a16:creationId xmlns:a16="http://schemas.microsoft.com/office/drawing/2014/main" id="{00000000-0008-0000-0900-000008000000}"/>
            </a:ext>
          </a:extLst>
        </xdr:cNvPr>
        <xdr:cNvPicPr>
          <a:picLocks noChangeAspect="1"/>
        </xdr:cNvPicPr>
      </xdr:nvPicPr>
      <xdr:blipFill>
        <a:blip xmlns:r="http://schemas.openxmlformats.org/officeDocument/2006/relationships" r:embed="rId2"/>
        <a:srcRect/>
        <a:stretch/>
      </xdr:blipFill>
      <xdr:spPr>
        <a:xfrm>
          <a:off x="179096" y="193675"/>
          <a:ext cx="1549983" cy="273054"/>
        </a:xfrm>
        <a:prstGeom prst="rect">
          <a:avLst/>
        </a:prstGeom>
      </xdr:spPr>
    </xdr:pic>
    <xdr:clientData/>
  </xdr:twoCellAnchor>
  <xdr:twoCellAnchor editAs="oneCell">
    <xdr:from>
      <xdr:col>1</xdr:col>
      <xdr:colOff>1840114</xdr:colOff>
      <xdr:row>1</xdr:row>
      <xdr:rowOff>9525</xdr:rowOff>
    </xdr:from>
    <xdr:to>
      <xdr:col>1</xdr:col>
      <xdr:colOff>3643111</xdr:colOff>
      <xdr:row>1</xdr:row>
      <xdr:rowOff>300634</xdr:rowOff>
    </xdr:to>
    <xdr:pic>
      <xdr:nvPicPr>
        <xdr:cNvPr id="10" name="Billede 9">
          <a:hlinkClick xmlns:r="http://schemas.openxmlformats.org/officeDocument/2006/relationships" r:id="rId3"/>
          <a:extLst>
            <a:ext uri="{FF2B5EF4-FFF2-40B4-BE49-F238E27FC236}">
              <a16:creationId xmlns:a16="http://schemas.microsoft.com/office/drawing/2014/main" id="{00000000-0008-0000-0900-00000A000000}"/>
            </a:ext>
          </a:extLst>
        </xdr:cNvPr>
        <xdr:cNvPicPr>
          <a:picLocks noChangeAspect="1"/>
        </xdr:cNvPicPr>
      </xdr:nvPicPr>
      <xdr:blipFill>
        <a:blip xmlns:r="http://schemas.openxmlformats.org/officeDocument/2006/relationships" r:embed="rId4"/>
        <a:srcRect/>
        <a:stretch/>
      </xdr:blipFill>
      <xdr:spPr>
        <a:xfrm>
          <a:off x="2119514" y="174625"/>
          <a:ext cx="1802997" cy="29110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4</xdr:col>
      <xdr:colOff>19050</xdr:colOff>
      <xdr:row>19</xdr:row>
      <xdr:rowOff>57150</xdr:rowOff>
    </xdr:from>
    <xdr:to>
      <xdr:col>4</xdr:col>
      <xdr:colOff>19050</xdr:colOff>
      <xdr:row>19</xdr:row>
      <xdr:rowOff>114300</xdr:rowOff>
    </xdr:to>
    <xdr:sp macro="" textlink="">
      <xdr:nvSpPr>
        <xdr:cNvPr id="549147" name="Line 2">
          <a:extLst>
            <a:ext uri="{FF2B5EF4-FFF2-40B4-BE49-F238E27FC236}">
              <a16:creationId xmlns:a16="http://schemas.microsoft.com/office/drawing/2014/main" id="{00000000-0008-0000-0A00-00001B610800}"/>
            </a:ext>
          </a:extLst>
        </xdr:cNvPr>
        <xdr:cNvSpPr>
          <a:spLocks noChangeShapeType="1"/>
        </xdr:cNvSpPr>
      </xdr:nvSpPr>
      <xdr:spPr bwMode="auto">
        <a:xfrm flipV="1">
          <a:off x="4248150" y="2971800"/>
          <a:ext cx="0" cy="57150"/>
        </a:xfrm>
        <a:prstGeom prst="line">
          <a:avLst/>
        </a:prstGeom>
        <a:noFill/>
        <a:ln w="9360">
          <a:solidFill>
            <a:srgbClr val="000000"/>
          </a:solidFill>
          <a:miter lim="800000"/>
          <a:headEnd/>
          <a:tailEnd/>
        </a:ln>
        <a:extLst>
          <a:ext uri="{909E8E84-426E-40dd-AFC4-6F175D3DCCD1}">
            <a14:hiddenFill xmlns:a14="http://schemas.microsoft.com/office/drawing/2010/main" xmlns="">
              <a:noFill/>
            </a14:hiddenFill>
          </a:ext>
        </a:extLst>
      </xdr:spPr>
    </xdr:sp>
    <xdr:clientData/>
  </xdr:twoCellAnchor>
  <xdr:twoCellAnchor>
    <xdr:from>
      <xdr:col>4</xdr:col>
      <xdr:colOff>19050</xdr:colOff>
      <xdr:row>25</xdr:row>
      <xdr:rowOff>57150</xdr:rowOff>
    </xdr:from>
    <xdr:to>
      <xdr:col>4</xdr:col>
      <xdr:colOff>19050</xdr:colOff>
      <xdr:row>25</xdr:row>
      <xdr:rowOff>114300</xdr:rowOff>
    </xdr:to>
    <xdr:sp macro="" textlink="">
      <xdr:nvSpPr>
        <xdr:cNvPr id="549149" name="Line 4">
          <a:extLst>
            <a:ext uri="{FF2B5EF4-FFF2-40B4-BE49-F238E27FC236}">
              <a16:creationId xmlns:a16="http://schemas.microsoft.com/office/drawing/2014/main" id="{00000000-0008-0000-0A00-00001D610800}"/>
            </a:ext>
          </a:extLst>
        </xdr:cNvPr>
        <xdr:cNvSpPr>
          <a:spLocks noChangeShapeType="1"/>
        </xdr:cNvSpPr>
      </xdr:nvSpPr>
      <xdr:spPr bwMode="auto">
        <a:xfrm flipV="1">
          <a:off x="4248150" y="5067300"/>
          <a:ext cx="0" cy="57150"/>
        </a:xfrm>
        <a:prstGeom prst="line">
          <a:avLst/>
        </a:prstGeom>
        <a:noFill/>
        <a:ln w="9360">
          <a:solidFill>
            <a:srgbClr val="000000"/>
          </a:solidFill>
          <a:miter lim="800000"/>
          <a:headEnd/>
          <a:tailEnd/>
        </a:ln>
        <a:extLst>
          <a:ext uri="{909E8E84-426E-40dd-AFC4-6F175D3DCCD1}">
            <a14:hiddenFill xmlns:a14="http://schemas.microsoft.com/office/drawing/2010/main" xmlns="">
              <a:noFill/>
            </a14:hiddenFill>
          </a:ext>
        </a:extLst>
      </xdr:spPr>
    </xdr:sp>
    <xdr:clientData/>
  </xdr:twoCellAnchor>
  <xdr:twoCellAnchor>
    <xdr:from>
      <xdr:col>4</xdr:col>
      <xdr:colOff>19050</xdr:colOff>
      <xdr:row>31</xdr:row>
      <xdr:rowOff>57150</xdr:rowOff>
    </xdr:from>
    <xdr:to>
      <xdr:col>4</xdr:col>
      <xdr:colOff>19050</xdr:colOff>
      <xdr:row>31</xdr:row>
      <xdr:rowOff>114300</xdr:rowOff>
    </xdr:to>
    <xdr:sp macro="" textlink="">
      <xdr:nvSpPr>
        <xdr:cNvPr id="549151" name="Line 6">
          <a:extLst>
            <a:ext uri="{FF2B5EF4-FFF2-40B4-BE49-F238E27FC236}">
              <a16:creationId xmlns:a16="http://schemas.microsoft.com/office/drawing/2014/main" id="{00000000-0008-0000-0A00-00001F610800}"/>
            </a:ext>
          </a:extLst>
        </xdr:cNvPr>
        <xdr:cNvSpPr>
          <a:spLocks noChangeShapeType="1"/>
        </xdr:cNvSpPr>
      </xdr:nvSpPr>
      <xdr:spPr bwMode="auto">
        <a:xfrm flipV="1">
          <a:off x="4248150" y="5829300"/>
          <a:ext cx="0" cy="57150"/>
        </a:xfrm>
        <a:prstGeom prst="line">
          <a:avLst/>
        </a:prstGeom>
        <a:noFill/>
        <a:ln w="9360">
          <a:solidFill>
            <a:srgbClr val="000000"/>
          </a:solidFill>
          <a:miter lim="800000"/>
          <a:headEnd/>
          <a:tailEnd/>
        </a:ln>
        <a:extLst>
          <a:ext uri="{909E8E84-426E-40dd-AFC4-6F175D3DCCD1}">
            <a14:hiddenFill xmlns:a14="http://schemas.microsoft.com/office/drawing/2010/main" xmlns="">
              <a:noFill/>
            </a14:hiddenFill>
          </a:ext>
        </a:extLst>
      </xdr:spPr>
    </xdr:sp>
    <xdr:clientData/>
  </xdr:twoCellAnchor>
  <xdr:twoCellAnchor>
    <xdr:from>
      <xdr:col>4</xdr:col>
      <xdr:colOff>19050</xdr:colOff>
      <xdr:row>62</xdr:row>
      <xdr:rowOff>57150</xdr:rowOff>
    </xdr:from>
    <xdr:to>
      <xdr:col>4</xdr:col>
      <xdr:colOff>19050</xdr:colOff>
      <xdr:row>62</xdr:row>
      <xdr:rowOff>114300</xdr:rowOff>
    </xdr:to>
    <xdr:sp macro="" textlink="">
      <xdr:nvSpPr>
        <xdr:cNvPr id="549153" name="Line 8">
          <a:extLst>
            <a:ext uri="{FF2B5EF4-FFF2-40B4-BE49-F238E27FC236}">
              <a16:creationId xmlns:a16="http://schemas.microsoft.com/office/drawing/2014/main" id="{00000000-0008-0000-0A00-000021610800}"/>
            </a:ext>
          </a:extLst>
        </xdr:cNvPr>
        <xdr:cNvSpPr>
          <a:spLocks noChangeShapeType="1"/>
        </xdr:cNvSpPr>
      </xdr:nvSpPr>
      <xdr:spPr bwMode="auto">
        <a:xfrm flipV="1">
          <a:off x="4248150" y="7543800"/>
          <a:ext cx="0" cy="57150"/>
        </a:xfrm>
        <a:prstGeom prst="line">
          <a:avLst/>
        </a:prstGeom>
        <a:noFill/>
        <a:ln w="9360">
          <a:solidFill>
            <a:srgbClr val="000000"/>
          </a:solidFill>
          <a:miter lim="800000"/>
          <a:headEnd/>
          <a:tailEnd/>
        </a:ln>
        <a:extLst>
          <a:ext uri="{909E8E84-426E-40dd-AFC4-6F175D3DCCD1}">
            <a14:hiddenFill xmlns:a14="http://schemas.microsoft.com/office/drawing/2010/main" xmlns="">
              <a:noFill/>
            </a14:hiddenFill>
          </a:ext>
        </a:extLst>
      </xdr:spPr>
    </xdr:sp>
    <xdr:clientData/>
  </xdr:twoCellAnchor>
  <xdr:twoCellAnchor>
    <xdr:from>
      <xdr:col>4</xdr:col>
      <xdr:colOff>19050</xdr:colOff>
      <xdr:row>71</xdr:row>
      <xdr:rowOff>57150</xdr:rowOff>
    </xdr:from>
    <xdr:to>
      <xdr:col>4</xdr:col>
      <xdr:colOff>19050</xdr:colOff>
      <xdr:row>71</xdr:row>
      <xdr:rowOff>114300</xdr:rowOff>
    </xdr:to>
    <xdr:sp macro="" textlink="">
      <xdr:nvSpPr>
        <xdr:cNvPr id="549155" name="Line 10">
          <a:extLst>
            <a:ext uri="{FF2B5EF4-FFF2-40B4-BE49-F238E27FC236}">
              <a16:creationId xmlns:a16="http://schemas.microsoft.com/office/drawing/2014/main" id="{00000000-0008-0000-0A00-000023610800}"/>
            </a:ext>
          </a:extLst>
        </xdr:cNvPr>
        <xdr:cNvSpPr>
          <a:spLocks noChangeShapeType="1"/>
        </xdr:cNvSpPr>
      </xdr:nvSpPr>
      <xdr:spPr bwMode="auto">
        <a:xfrm flipV="1">
          <a:off x="4248150" y="9258300"/>
          <a:ext cx="0" cy="57150"/>
        </a:xfrm>
        <a:prstGeom prst="line">
          <a:avLst/>
        </a:prstGeom>
        <a:noFill/>
        <a:ln w="9360">
          <a:solidFill>
            <a:srgbClr val="000000"/>
          </a:solidFill>
          <a:miter lim="800000"/>
          <a:headEnd/>
          <a:tailEnd/>
        </a:ln>
        <a:extLst>
          <a:ext uri="{909E8E84-426E-40dd-AFC4-6F175D3DCCD1}">
            <a14:hiddenFill xmlns:a14="http://schemas.microsoft.com/office/drawing/2010/main" xmlns="">
              <a:noFill/>
            </a14:hiddenFill>
          </a:ext>
        </a:extLst>
      </xdr:spPr>
    </xdr:sp>
    <xdr:clientData/>
  </xdr:twoCellAnchor>
  <xdr:twoCellAnchor>
    <xdr:from>
      <xdr:col>4</xdr:col>
      <xdr:colOff>19050</xdr:colOff>
      <xdr:row>85</xdr:row>
      <xdr:rowOff>57150</xdr:rowOff>
    </xdr:from>
    <xdr:to>
      <xdr:col>4</xdr:col>
      <xdr:colOff>19050</xdr:colOff>
      <xdr:row>85</xdr:row>
      <xdr:rowOff>114300</xdr:rowOff>
    </xdr:to>
    <xdr:sp macro="" textlink="">
      <xdr:nvSpPr>
        <xdr:cNvPr id="549157" name="Line 14">
          <a:extLst>
            <a:ext uri="{FF2B5EF4-FFF2-40B4-BE49-F238E27FC236}">
              <a16:creationId xmlns:a16="http://schemas.microsoft.com/office/drawing/2014/main" id="{00000000-0008-0000-0A00-000025610800}"/>
            </a:ext>
          </a:extLst>
        </xdr:cNvPr>
        <xdr:cNvSpPr>
          <a:spLocks noChangeShapeType="1"/>
        </xdr:cNvSpPr>
      </xdr:nvSpPr>
      <xdr:spPr bwMode="auto">
        <a:xfrm flipV="1">
          <a:off x="4248150" y="10582275"/>
          <a:ext cx="0" cy="57150"/>
        </a:xfrm>
        <a:prstGeom prst="line">
          <a:avLst/>
        </a:prstGeom>
        <a:noFill/>
        <a:ln w="9360">
          <a:solidFill>
            <a:srgbClr val="000000"/>
          </a:solidFill>
          <a:miter lim="800000"/>
          <a:headEnd/>
          <a:tailEnd/>
        </a:ln>
        <a:extLst>
          <a:ext uri="{909E8E84-426E-40dd-AFC4-6F175D3DCCD1}">
            <a14:hiddenFill xmlns:a14="http://schemas.microsoft.com/office/drawing/2010/main" xmlns="">
              <a:noFill/>
            </a14:hiddenFill>
          </a:ext>
        </a:extLst>
      </xdr:spPr>
    </xdr:sp>
    <xdr:clientData/>
  </xdr:twoCellAnchor>
  <xdr:twoCellAnchor>
    <xdr:from>
      <xdr:col>4</xdr:col>
      <xdr:colOff>19050</xdr:colOff>
      <xdr:row>91</xdr:row>
      <xdr:rowOff>57150</xdr:rowOff>
    </xdr:from>
    <xdr:to>
      <xdr:col>4</xdr:col>
      <xdr:colOff>19050</xdr:colOff>
      <xdr:row>91</xdr:row>
      <xdr:rowOff>142875</xdr:rowOff>
    </xdr:to>
    <xdr:sp macro="" textlink="">
      <xdr:nvSpPr>
        <xdr:cNvPr id="549159" name="Line 18">
          <a:extLst>
            <a:ext uri="{FF2B5EF4-FFF2-40B4-BE49-F238E27FC236}">
              <a16:creationId xmlns:a16="http://schemas.microsoft.com/office/drawing/2014/main" id="{00000000-0008-0000-0A00-000027610800}"/>
            </a:ext>
          </a:extLst>
        </xdr:cNvPr>
        <xdr:cNvSpPr>
          <a:spLocks noChangeShapeType="1"/>
        </xdr:cNvSpPr>
      </xdr:nvSpPr>
      <xdr:spPr bwMode="auto">
        <a:xfrm flipV="1">
          <a:off x="4248150" y="11725275"/>
          <a:ext cx="0" cy="85725"/>
        </a:xfrm>
        <a:prstGeom prst="line">
          <a:avLst/>
        </a:prstGeom>
        <a:noFill/>
        <a:ln w="9360">
          <a:solidFill>
            <a:srgbClr val="000000"/>
          </a:solidFill>
          <a:miter lim="800000"/>
          <a:headEnd/>
          <a:tailEnd/>
        </a:ln>
        <a:extLst>
          <a:ext uri="{909E8E84-426E-40dd-AFC4-6F175D3DCCD1}">
            <a14:hiddenFill xmlns:a14="http://schemas.microsoft.com/office/drawing/2010/main" xmlns="">
              <a:noFill/>
            </a14:hiddenFill>
          </a:ext>
        </a:extLst>
      </xdr:spPr>
    </xdr:sp>
    <xdr:clientData/>
  </xdr:twoCellAnchor>
  <xdr:twoCellAnchor>
    <xdr:from>
      <xdr:col>4</xdr:col>
      <xdr:colOff>19050</xdr:colOff>
      <xdr:row>58</xdr:row>
      <xdr:rowOff>57150</xdr:rowOff>
    </xdr:from>
    <xdr:to>
      <xdr:col>4</xdr:col>
      <xdr:colOff>19050</xdr:colOff>
      <xdr:row>58</xdr:row>
      <xdr:rowOff>114300</xdr:rowOff>
    </xdr:to>
    <xdr:sp macro="" textlink="">
      <xdr:nvSpPr>
        <xdr:cNvPr id="549163" name="Line 25">
          <a:extLst>
            <a:ext uri="{FF2B5EF4-FFF2-40B4-BE49-F238E27FC236}">
              <a16:creationId xmlns:a16="http://schemas.microsoft.com/office/drawing/2014/main" id="{00000000-0008-0000-0A00-00002B610800}"/>
            </a:ext>
          </a:extLst>
        </xdr:cNvPr>
        <xdr:cNvSpPr>
          <a:spLocks noChangeShapeType="1"/>
        </xdr:cNvSpPr>
      </xdr:nvSpPr>
      <xdr:spPr bwMode="auto">
        <a:xfrm flipV="1">
          <a:off x="4248150" y="6781800"/>
          <a:ext cx="0" cy="57150"/>
        </a:xfrm>
        <a:prstGeom prst="line">
          <a:avLst/>
        </a:prstGeom>
        <a:noFill/>
        <a:ln w="9360">
          <a:solidFill>
            <a:srgbClr val="000000"/>
          </a:solidFill>
          <a:miter lim="800000"/>
          <a:headEnd/>
          <a:tailEnd/>
        </a:ln>
        <a:extLst>
          <a:ext uri="{909E8E84-426E-40dd-AFC4-6F175D3DCCD1}">
            <a14:hiddenFill xmlns:a14="http://schemas.microsoft.com/office/drawing/2010/main" xmlns="">
              <a:noFill/>
            </a14:hiddenFill>
          </a:ext>
        </a:extLst>
      </xdr:spPr>
    </xdr:sp>
    <xdr:clientData/>
  </xdr:twoCellAnchor>
  <xdr:twoCellAnchor>
    <xdr:from>
      <xdr:col>4</xdr:col>
      <xdr:colOff>19050</xdr:colOff>
      <xdr:row>128</xdr:row>
      <xdr:rowOff>57150</xdr:rowOff>
    </xdr:from>
    <xdr:to>
      <xdr:col>4</xdr:col>
      <xdr:colOff>19050</xdr:colOff>
      <xdr:row>128</xdr:row>
      <xdr:rowOff>114300</xdr:rowOff>
    </xdr:to>
    <xdr:sp macro="" textlink="">
      <xdr:nvSpPr>
        <xdr:cNvPr id="549167" name="Line 29">
          <a:extLst>
            <a:ext uri="{FF2B5EF4-FFF2-40B4-BE49-F238E27FC236}">
              <a16:creationId xmlns:a16="http://schemas.microsoft.com/office/drawing/2014/main" id="{00000000-0008-0000-0A00-00002F610800}"/>
            </a:ext>
          </a:extLst>
        </xdr:cNvPr>
        <xdr:cNvSpPr>
          <a:spLocks noChangeShapeType="1"/>
        </xdr:cNvSpPr>
      </xdr:nvSpPr>
      <xdr:spPr bwMode="auto">
        <a:xfrm flipV="1">
          <a:off x="4248150" y="14897100"/>
          <a:ext cx="0" cy="57150"/>
        </a:xfrm>
        <a:prstGeom prst="line">
          <a:avLst/>
        </a:prstGeom>
        <a:noFill/>
        <a:ln w="9360">
          <a:solidFill>
            <a:srgbClr val="000000"/>
          </a:solidFill>
          <a:miter lim="800000"/>
          <a:headEnd/>
          <a:tailEnd/>
        </a:ln>
        <a:extLst>
          <a:ext uri="{909E8E84-426E-40dd-AFC4-6F175D3DCCD1}">
            <a14:hiddenFill xmlns:a14="http://schemas.microsoft.com/office/drawing/2010/main" xmlns="">
              <a:noFill/>
            </a14:hiddenFill>
          </a:ext>
        </a:extLst>
      </xdr:spPr>
    </xdr:sp>
    <xdr:clientData/>
  </xdr:twoCellAnchor>
  <xdr:twoCellAnchor>
    <xdr:from>
      <xdr:col>4</xdr:col>
      <xdr:colOff>19050</xdr:colOff>
      <xdr:row>111</xdr:row>
      <xdr:rowOff>57150</xdr:rowOff>
    </xdr:from>
    <xdr:to>
      <xdr:col>4</xdr:col>
      <xdr:colOff>19050</xdr:colOff>
      <xdr:row>111</xdr:row>
      <xdr:rowOff>114300</xdr:rowOff>
    </xdr:to>
    <xdr:sp macro="" textlink="">
      <xdr:nvSpPr>
        <xdr:cNvPr id="549170" name="Line 27">
          <a:extLst>
            <a:ext uri="{FF2B5EF4-FFF2-40B4-BE49-F238E27FC236}">
              <a16:creationId xmlns:a16="http://schemas.microsoft.com/office/drawing/2014/main" id="{00000000-0008-0000-0A00-000032610800}"/>
            </a:ext>
          </a:extLst>
        </xdr:cNvPr>
        <xdr:cNvSpPr>
          <a:spLocks noChangeShapeType="1"/>
        </xdr:cNvSpPr>
      </xdr:nvSpPr>
      <xdr:spPr bwMode="auto">
        <a:xfrm flipV="1">
          <a:off x="4248150" y="13058775"/>
          <a:ext cx="0" cy="57150"/>
        </a:xfrm>
        <a:prstGeom prst="line">
          <a:avLst/>
        </a:prstGeom>
        <a:noFill/>
        <a:ln w="9360">
          <a:solidFill>
            <a:srgbClr val="000000"/>
          </a:solidFill>
          <a:miter lim="800000"/>
          <a:headEnd/>
          <a:tailEnd/>
        </a:ln>
        <a:extLst>
          <a:ext uri="{909E8E84-426E-40dd-AFC4-6F175D3DCCD1}">
            <a14:hiddenFill xmlns:a14="http://schemas.microsoft.com/office/drawing/2010/main" xmlns="">
              <a:noFill/>
            </a14:hiddenFill>
          </a:ext>
        </a:extLst>
      </xdr:spPr>
    </xdr:sp>
    <xdr:clientData/>
  </xdr:twoCellAnchor>
  <xdr:twoCellAnchor editAs="oneCell">
    <xdr:from>
      <xdr:col>0</xdr:col>
      <xdr:colOff>187033</xdr:colOff>
      <xdr:row>0</xdr:row>
      <xdr:rowOff>28575</xdr:rowOff>
    </xdr:from>
    <xdr:to>
      <xdr:col>2</xdr:col>
      <xdr:colOff>721016</xdr:colOff>
      <xdr:row>0</xdr:row>
      <xdr:rowOff>301629</xdr:rowOff>
    </xdr:to>
    <xdr:pic>
      <xdr:nvPicPr>
        <xdr:cNvPr id="33" name="Billede 32">
          <a:hlinkClick xmlns:r="http://schemas.openxmlformats.org/officeDocument/2006/relationships" r:id="rId1"/>
          <a:extLst>
            <a:ext uri="{FF2B5EF4-FFF2-40B4-BE49-F238E27FC236}">
              <a16:creationId xmlns:a16="http://schemas.microsoft.com/office/drawing/2014/main" id="{00000000-0008-0000-0A00-000021000000}"/>
            </a:ext>
          </a:extLst>
        </xdr:cNvPr>
        <xdr:cNvPicPr>
          <a:picLocks noChangeAspect="1"/>
        </xdr:cNvPicPr>
      </xdr:nvPicPr>
      <xdr:blipFill>
        <a:blip xmlns:r="http://schemas.openxmlformats.org/officeDocument/2006/relationships" r:embed="rId2"/>
        <a:srcRect/>
        <a:stretch/>
      </xdr:blipFill>
      <xdr:spPr>
        <a:xfrm>
          <a:off x="187033" y="28575"/>
          <a:ext cx="1549983" cy="273054"/>
        </a:xfrm>
        <a:prstGeom prst="rect">
          <a:avLst/>
        </a:prstGeom>
      </xdr:spPr>
    </xdr:pic>
    <xdr:clientData/>
  </xdr:twoCellAnchor>
  <xdr:twoCellAnchor editAs="oneCell">
    <xdr:from>
      <xdr:col>2</xdr:col>
      <xdr:colOff>1814714</xdr:colOff>
      <xdr:row>0</xdr:row>
      <xdr:rowOff>9525</xdr:rowOff>
    </xdr:from>
    <xdr:to>
      <xdr:col>2</xdr:col>
      <xdr:colOff>3389111</xdr:colOff>
      <xdr:row>0</xdr:row>
      <xdr:rowOff>300634</xdr:rowOff>
    </xdr:to>
    <xdr:pic>
      <xdr:nvPicPr>
        <xdr:cNvPr id="45" name="Billede 44">
          <a:hlinkClick xmlns:r="http://schemas.openxmlformats.org/officeDocument/2006/relationships" r:id="rId3"/>
          <a:extLst>
            <a:ext uri="{FF2B5EF4-FFF2-40B4-BE49-F238E27FC236}">
              <a16:creationId xmlns:a16="http://schemas.microsoft.com/office/drawing/2014/main" id="{00000000-0008-0000-0A00-00002D000000}"/>
            </a:ext>
          </a:extLst>
        </xdr:cNvPr>
        <xdr:cNvPicPr>
          <a:picLocks noChangeAspect="1"/>
        </xdr:cNvPicPr>
      </xdr:nvPicPr>
      <xdr:blipFill>
        <a:blip xmlns:r="http://schemas.openxmlformats.org/officeDocument/2006/relationships" r:embed="rId4"/>
        <a:srcRect/>
        <a:stretch/>
      </xdr:blipFill>
      <xdr:spPr>
        <a:xfrm>
          <a:off x="2830714" y="9525"/>
          <a:ext cx="1802997" cy="291109"/>
        </a:xfrm>
        <a:prstGeom prst="rect">
          <a:avLst/>
        </a:prstGeom>
      </xdr:spPr>
    </xdr:pic>
    <xdr:clientData/>
  </xdr:twoCellAnchor>
  <xdr:twoCellAnchor>
    <xdr:from>
      <xdr:col>4</xdr:col>
      <xdr:colOff>19050</xdr:colOff>
      <xdr:row>38</xdr:row>
      <xdr:rowOff>57150</xdr:rowOff>
    </xdr:from>
    <xdr:to>
      <xdr:col>4</xdr:col>
      <xdr:colOff>19050</xdr:colOff>
      <xdr:row>38</xdr:row>
      <xdr:rowOff>114300</xdr:rowOff>
    </xdr:to>
    <xdr:sp macro="" textlink="">
      <xdr:nvSpPr>
        <xdr:cNvPr id="29" name="Line 25">
          <a:extLst>
            <a:ext uri="{FF2B5EF4-FFF2-40B4-BE49-F238E27FC236}">
              <a16:creationId xmlns:a16="http://schemas.microsoft.com/office/drawing/2014/main" id="{00000000-0008-0000-0A00-00001D000000}"/>
            </a:ext>
          </a:extLst>
        </xdr:cNvPr>
        <xdr:cNvSpPr>
          <a:spLocks noChangeShapeType="1"/>
        </xdr:cNvSpPr>
      </xdr:nvSpPr>
      <xdr:spPr bwMode="auto">
        <a:xfrm flipV="1">
          <a:off x="5200650" y="8058150"/>
          <a:ext cx="0" cy="57150"/>
        </a:xfrm>
        <a:prstGeom prst="line">
          <a:avLst/>
        </a:prstGeom>
        <a:noFill/>
        <a:ln w="9360">
          <a:solidFill>
            <a:srgbClr val="000000"/>
          </a:solidFill>
          <a:miter lim="800000"/>
          <a:headEnd/>
          <a:tailEnd/>
        </a:ln>
        <a:extLst>
          <a:ext uri="{909E8E84-426E-40dd-AFC4-6F175D3DCCD1}">
            <a14:hiddenFill xmlns:a14="http://schemas.microsoft.com/office/drawing/2010/main" xmlns="">
              <a:noFill/>
            </a14:hiddenFill>
          </a:ext>
        </a:extLst>
      </xdr:spPr>
    </xdr:sp>
    <xdr:clientData/>
  </xdr:twoCellAnchor>
  <xdr:twoCellAnchor>
    <xdr:from>
      <xdr:col>4</xdr:col>
      <xdr:colOff>19050</xdr:colOff>
      <xdr:row>51</xdr:row>
      <xdr:rowOff>57150</xdr:rowOff>
    </xdr:from>
    <xdr:to>
      <xdr:col>4</xdr:col>
      <xdr:colOff>19050</xdr:colOff>
      <xdr:row>51</xdr:row>
      <xdr:rowOff>114300</xdr:rowOff>
    </xdr:to>
    <xdr:sp macro="" textlink="">
      <xdr:nvSpPr>
        <xdr:cNvPr id="34" name="Line 25">
          <a:extLst>
            <a:ext uri="{FF2B5EF4-FFF2-40B4-BE49-F238E27FC236}">
              <a16:creationId xmlns:a16="http://schemas.microsoft.com/office/drawing/2014/main" id="{00000000-0008-0000-0A00-000022000000}"/>
            </a:ext>
          </a:extLst>
        </xdr:cNvPr>
        <xdr:cNvSpPr>
          <a:spLocks noChangeShapeType="1"/>
        </xdr:cNvSpPr>
      </xdr:nvSpPr>
      <xdr:spPr bwMode="auto">
        <a:xfrm flipV="1">
          <a:off x="5200650" y="7524750"/>
          <a:ext cx="0" cy="57150"/>
        </a:xfrm>
        <a:prstGeom prst="line">
          <a:avLst/>
        </a:prstGeom>
        <a:noFill/>
        <a:ln w="9360">
          <a:solidFill>
            <a:srgbClr val="000000"/>
          </a:solidFill>
          <a:miter lim="800000"/>
          <a:headEnd/>
          <a:tailEnd/>
        </a:ln>
        <a:extLst>
          <a:ext uri="{909E8E84-426E-40dd-AFC4-6F175D3DCCD1}">
            <a14:hiddenFill xmlns:a14="http://schemas.microsoft.com/office/drawing/2010/main" xmlns="">
              <a:noFill/>
            </a14:hiddenFill>
          </a:ext>
        </a:extLst>
      </xdr:spPr>
    </xdr:sp>
    <xdr:clientData/>
  </xdr:twoCellAnchor>
  <xdr:twoCellAnchor>
    <xdr:from>
      <xdr:col>4</xdr:col>
      <xdr:colOff>19050</xdr:colOff>
      <xdr:row>108</xdr:row>
      <xdr:rowOff>57150</xdr:rowOff>
    </xdr:from>
    <xdr:to>
      <xdr:col>4</xdr:col>
      <xdr:colOff>19050</xdr:colOff>
      <xdr:row>108</xdr:row>
      <xdr:rowOff>114300</xdr:rowOff>
    </xdr:to>
    <xdr:sp macro="" textlink="">
      <xdr:nvSpPr>
        <xdr:cNvPr id="48" name="Line 2">
          <a:extLst>
            <a:ext uri="{FF2B5EF4-FFF2-40B4-BE49-F238E27FC236}">
              <a16:creationId xmlns:a16="http://schemas.microsoft.com/office/drawing/2014/main" id="{00000000-0008-0000-0A00-000030000000}"/>
            </a:ext>
          </a:extLst>
        </xdr:cNvPr>
        <xdr:cNvSpPr>
          <a:spLocks noChangeShapeType="1"/>
        </xdr:cNvSpPr>
      </xdr:nvSpPr>
      <xdr:spPr bwMode="auto">
        <a:xfrm flipV="1">
          <a:off x="5200650" y="4146550"/>
          <a:ext cx="0" cy="57150"/>
        </a:xfrm>
        <a:prstGeom prst="line">
          <a:avLst/>
        </a:prstGeom>
        <a:noFill/>
        <a:ln w="9360">
          <a:solidFill>
            <a:srgbClr val="000000"/>
          </a:solidFill>
          <a:miter lim="800000"/>
          <a:headEnd/>
          <a:tailEnd/>
        </a:ln>
        <a:extLst>
          <a:ext uri="{909E8E84-426E-40dd-AFC4-6F175D3DCCD1}">
            <a14:hiddenFill xmlns:a14="http://schemas.microsoft.com/office/drawing/2010/main" xmlns="">
              <a:noFill/>
            </a14:hiddenFill>
          </a:ext>
        </a:extLst>
      </xdr:spPr>
    </xdr:sp>
    <xdr:clientData/>
  </xdr:twoCellAnchor>
  <xdr:twoCellAnchor>
    <xdr:from>
      <xdr:col>5</xdr:col>
      <xdr:colOff>19050</xdr:colOff>
      <xdr:row>19</xdr:row>
      <xdr:rowOff>57150</xdr:rowOff>
    </xdr:from>
    <xdr:to>
      <xdr:col>5</xdr:col>
      <xdr:colOff>19050</xdr:colOff>
      <xdr:row>19</xdr:row>
      <xdr:rowOff>114300</xdr:rowOff>
    </xdr:to>
    <xdr:sp macro="" textlink="">
      <xdr:nvSpPr>
        <xdr:cNvPr id="49" name="Line 2">
          <a:extLst>
            <a:ext uri="{FF2B5EF4-FFF2-40B4-BE49-F238E27FC236}">
              <a16:creationId xmlns:a16="http://schemas.microsoft.com/office/drawing/2014/main" id="{8887068B-3922-6F4D-91DB-C07D3C4B27A4}"/>
            </a:ext>
          </a:extLst>
        </xdr:cNvPr>
        <xdr:cNvSpPr>
          <a:spLocks noChangeShapeType="1"/>
        </xdr:cNvSpPr>
      </xdr:nvSpPr>
      <xdr:spPr bwMode="auto">
        <a:xfrm flipV="1">
          <a:off x="5920317" y="4688417"/>
          <a:ext cx="0" cy="57150"/>
        </a:xfrm>
        <a:prstGeom prst="line">
          <a:avLst/>
        </a:prstGeom>
        <a:noFill/>
        <a:ln w="9360">
          <a:solidFill>
            <a:srgbClr val="000000"/>
          </a:solidFill>
          <a:miter lim="800000"/>
          <a:headEnd/>
          <a:tailEnd/>
        </a:ln>
        <a:extLst>
          <a:ext uri="{909E8E84-426E-40dd-AFC4-6F175D3DCCD1}">
            <a14:hiddenFill xmlns:a14="http://schemas.microsoft.com/office/drawing/2010/main" xmlns="">
              <a:noFill/>
            </a14:hiddenFill>
          </a:ext>
        </a:extLst>
      </xdr:spPr>
    </xdr:sp>
    <xdr:clientData/>
  </xdr:twoCellAnchor>
  <xdr:twoCellAnchor>
    <xdr:from>
      <xdr:col>5</xdr:col>
      <xdr:colOff>19050</xdr:colOff>
      <xdr:row>25</xdr:row>
      <xdr:rowOff>57150</xdr:rowOff>
    </xdr:from>
    <xdr:to>
      <xdr:col>5</xdr:col>
      <xdr:colOff>19050</xdr:colOff>
      <xdr:row>25</xdr:row>
      <xdr:rowOff>114300</xdr:rowOff>
    </xdr:to>
    <xdr:sp macro="" textlink="">
      <xdr:nvSpPr>
        <xdr:cNvPr id="50" name="Line 4">
          <a:extLst>
            <a:ext uri="{FF2B5EF4-FFF2-40B4-BE49-F238E27FC236}">
              <a16:creationId xmlns:a16="http://schemas.microsoft.com/office/drawing/2014/main" id="{93B49B8B-5596-CF48-8D33-1F9CE546851B}"/>
            </a:ext>
          </a:extLst>
        </xdr:cNvPr>
        <xdr:cNvSpPr>
          <a:spLocks noChangeShapeType="1"/>
        </xdr:cNvSpPr>
      </xdr:nvSpPr>
      <xdr:spPr bwMode="auto">
        <a:xfrm flipV="1">
          <a:off x="5920317" y="5941483"/>
          <a:ext cx="0" cy="57150"/>
        </a:xfrm>
        <a:prstGeom prst="line">
          <a:avLst/>
        </a:prstGeom>
        <a:noFill/>
        <a:ln w="9360">
          <a:solidFill>
            <a:srgbClr val="000000"/>
          </a:solidFill>
          <a:miter lim="800000"/>
          <a:headEnd/>
          <a:tailEnd/>
        </a:ln>
        <a:extLst>
          <a:ext uri="{909E8E84-426E-40dd-AFC4-6F175D3DCCD1}">
            <a14:hiddenFill xmlns:a14="http://schemas.microsoft.com/office/drawing/2010/main" xmlns="">
              <a:noFill/>
            </a14:hiddenFill>
          </a:ext>
        </a:extLst>
      </xdr:spPr>
    </xdr:sp>
    <xdr:clientData/>
  </xdr:twoCellAnchor>
  <xdr:twoCellAnchor>
    <xdr:from>
      <xdr:col>5</xdr:col>
      <xdr:colOff>19050</xdr:colOff>
      <xdr:row>31</xdr:row>
      <xdr:rowOff>57150</xdr:rowOff>
    </xdr:from>
    <xdr:to>
      <xdr:col>5</xdr:col>
      <xdr:colOff>19050</xdr:colOff>
      <xdr:row>31</xdr:row>
      <xdr:rowOff>114300</xdr:rowOff>
    </xdr:to>
    <xdr:sp macro="" textlink="">
      <xdr:nvSpPr>
        <xdr:cNvPr id="51" name="Line 6">
          <a:extLst>
            <a:ext uri="{FF2B5EF4-FFF2-40B4-BE49-F238E27FC236}">
              <a16:creationId xmlns:a16="http://schemas.microsoft.com/office/drawing/2014/main" id="{232819AB-EF8D-D04F-BA15-859DA4028A9A}"/>
            </a:ext>
          </a:extLst>
        </xdr:cNvPr>
        <xdr:cNvSpPr>
          <a:spLocks noChangeShapeType="1"/>
        </xdr:cNvSpPr>
      </xdr:nvSpPr>
      <xdr:spPr bwMode="auto">
        <a:xfrm flipV="1">
          <a:off x="5920317" y="7177617"/>
          <a:ext cx="0" cy="57150"/>
        </a:xfrm>
        <a:prstGeom prst="line">
          <a:avLst/>
        </a:prstGeom>
        <a:noFill/>
        <a:ln w="9360">
          <a:solidFill>
            <a:srgbClr val="000000"/>
          </a:solidFill>
          <a:miter lim="800000"/>
          <a:headEnd/>
          <a:tailEnd/>
        </a:ln>
        <a:extLst>
          <a:ext uri="{909E8E84-426E-40dd-AFC4-6F175D3DCCD1}">
            <a14:hiddenFill xmlns:a14="http://schemas.microsoft.com/office/drawing/2010/main" xmlns="">
              <a:noFill/>
            </a14:hiddenFill>
          </a:ext>
        </a:extLst>
      </xdr:spPr>
    </xdr:sp>
    <xdr:clientData/>
  </xdr:twoCellAnchor>
  <xdr:twoCellAnchor>
    <xdr:from>
      <xdr:col>5</xdr:col>
      <xdr:colOff>19050</xdr:colOff>
      <xdr:row>38</xdr:row>
      <xdr:rowOff>57150</xdr:rowOff>
    </xdr:from>
    <xdr:to>
      <xdr:col>5</xdr:col>
      <xdr:colOff>19050</xdr:colOff>
      <xdr:row>38</xdr:row>
      <xdr:rowOff>114300</xdr:rowOff>
    </xdr:to>
    <xdr:sp macro="" textlink="">
      <xdr:nvSpPr>
        <xdr:cNvPr id="52" name="Line 25">
          <a:extLst>
            <a:ext uri="{FF2B5EF4-FFF2-40B4-BE49-F238E27FC236}">
              <a16:creationId xmlns:a16="http://schemas.microsoft.com/office/drawing/2014/main" id="{CE044A47-EE66-0840-AA70-F173D915EC83}"/>
            </a:ext>
          </a:extLst>
        </xdr:cNvPr>
        <xdr:cNvSpPr>
          <a:spLocks noChangeShapeType="1"/>
        </xdr:cNvSpPr>
      </xdr:nvSpPr>
      <xdr:spPr bwMode="auto">
        <a:xfrm flipV="1">
          <a:off x="5920317" y="8616950"/>
          <a:ext cx="0" cy="57150"/>
        </a:xfrm>
        <a:prstGeom prst="line">
          <a:avLst/>
        </a:prstGeom>
        <a:noFill/>
        <a:ln w="9360">
          <a:solidFill>
            <a:srgbClr val="000000"/>
          </a:solidFill>
          <a:miter lim="800000"/>
          <a:headEnd/>
          <a:tailEnd/>
        </a:ln>
        <a:extLst>
          <a:ext uri="{909E8E84-426E-40dd-AFC4-6F175D3DCCD1}">
            <a14:hiddenFill xmlns:a14="http://schemas.microsoft.com/office/drawing/2010/main" xmlns="">
              <a:noFill/>
            </a14:hiddenFill>
          </a:ext>
        </a:extLst>
      </xdr:spPr>
    </xdr:sp>
    <xdr:clientData/>
  </xdr:twoCellAnchor>
  <xdr:twoCellAnchor>
    <xdr:from>
      <xdr:col>5</xdr:col>
      <xdr:colOff>19050</xdr:colOff>
      <xdr:row>51</xdr:row>
      <xdr:rowOff>57150</xdr:rowOff>
    </xdr:from>
    <xdr:to>
      <xdr:col>5</xdr:col>
      <xdr:colOff>19050</xdr:colOff>
      <xdr:row>51</xdr:row>
      <xdr:rowOff>114300</xdr:rowOff>
    </xdr:to>
    <xdr:sp macro="" textlink="">
      <xdr:nvSpPr>
        <xdr:cNvPr id="53" name="Line 25">
          <a:extLst>
            <a:ext uri="{FF2B5EF4-FFF2-40B4-BE49-F238E27FC236}">
              <a16:creationId xmlns:a16="http://schemas.microsoft.com/office/drawing/2014/main" id="{203FE942-A6BB-F946-8869-F0471C7F92F0}"/>
            </a:ext>
          </a:extLst>
        </xdr:cNvPr>
        <xdr:cNvSpPr>
          <a:spLocks noChangeShapeType="1"/>
        </xdr:cNvSpPr>
      </xdr:nvSpPr>
      <xdr:spPr bwMode="auto">
        <a:xfrm flipV="1">
          <a:off x="5920317" y="11275483"/>
          <a:ext cx="0" cy="57150"/>
        </a:xfrm>
        <a:prstGeom prst="line">
          <a:avLst/>
        </a:prstGeom>
        <a:noFill/>
        <a:ln w="9360">
          <a:solidFill>
            <a:srgbClr val="000000"/>
          </a:solidFill>
          <a:miter lim="800000"/>
          <a:headEnd/>
          <a:tailEnd/>
        </a:ln>
        <a:extLst>
          <a:ext uri="{909E8E84-426E-40dd-AFC4-6F175D3DCCD1}">
            <a14:hiddenFill xmlns:a14="http://schemas.microsoft.com/office/drawing/2010/main" xmlns="">
              <a:noFill/>
            </a14:hiddenFill>
          </a:ext>
        </a:extLst>
      </xdr:spPr>
    </xdr:sp>
    <xdr:clientData/>
  </xdr:twoCellAnchor>
  <xdr:twoCellAnchor>
    <xdr:from>
      <xdr:col>5</xdr:col>
      <xdr:colOff>19050</xdr:colOff>
      <xdr:row>58</xdr:row>
      <xdr:rowOff>57150</xdr:rowOff>
    </xdr:from>
    <xdr:to>
      <xdr:col>5</xdr:col>
      <xdr:colOff>19050</xdr:colOff>
      <xdr:row>58</xdr:row>
      <xdr:rowOff>114300</xdr:rowOff>
    </xdr:to>
    <xdr:sp macro="" textlink="">
      <xdr:nvSpPr>
        <xdr:cNvPr id="54" name="Line 25">
          <a:extLst>
            <a:ext uri="{FF2B5EF4-FFF2-40B4-BE49-F238E27FC236}">
              <a16:creationId xmlns:a16="http://schemas.microsoft.com/office/drawing/2014/main" id="{8DA90345-7668-A241-9CC2-776642B8EC0A}"/>
            </a:ext>
          </a:extLst>
        </xdr:cNvPr>
        <xdr:cNvSpPr>
          <a:spLocks noChangeShapeType="1"/>
        </xdr:cNvSpPr>
      </xdr:nvSpPr>
      <xdr:spPr bwMode="auto">
        <a:xfrm flipV="1">
          <a:off x="5920317" y="12714817"/>
          <a:ext cx="0" cy="57150"/>
        </a:xfrm>
        <a:prstGeom prst="line">
          <a:avLst/>
        </a:prstGeom>
        <a:noFill/>
        <a:ln w="9360">
          <a:solidFill>
            <a:srgbClr val="000000"/>
          </a:solidFill>
          <a:miter lim="800000"/>
          <a:headEnd/>
          <a:tailEnd/>
        </a:ln>
        <a:extLst>
          <a:ext uri="{909E8E84-426E-40dd-AFC4-6F175D3DCCD1}">
            <a14:hiddenFill xmlns:a14="http://schemas.microsoft.com/office/drawing/2010/main" xmlns="">
              <a:noFill/>
            </a14:hiddenFill>
          </a:ext>
        </a:extLst>
      </xdr:spPr>
    </xdr:sp>
    <xdr:clientData/>
  </xdr:twoCellAnchor>
  <xdr:twoCellAnchor>
    <xdr:from>
      <xdr:col>5</xdr:col>
      <xdr:colOff>19050</xdr:colOff>
      <xdr:row>62</xdr:row>
      <xdr:rowOff>57150</xdr:rowOff>
    </xdr:from>
    <xdr:to>
      <xdr:col>5</xdr:col>
      <xdr:colOff>19050</xdr:colOff>
      <xdr:row>62</xdr:row>
      <xdr:rowOff>114300</xdr:rowOff>
    </xdr:to>
    <xdr:sp macro="" textlink="">
      <xdr:nvSpPr>
        <xdr:cNvPr id="55" name="Line 8">
          <a:extLst>
            <a:ext uri="{FF2B5EF4-FFF2-40B4-BE49-F238E27FC236}">
              <a16:creationId xmlns:a16="http://schemas.microsoft.com/office/drawing/2014/main" id="{A3723968-ED04-9045-B209-5A75F6032390}"/>
            </a:ext>
          </a:extLst>
        </xdr:cNvPr>
        <xdr:cNvSpPr>
          <a:spLocks noChangeShapeType="1"/>
        </xdr:cNvSpPr>
      </xdr:nvSpPr>
      <xdr:spPr bwMode="auto">
        <a:xfrm flipV="1">
          <a:off x="5920317" y="13544550"/>
          <a:ext cx="0" cy="57150"/>
        </a:xfrm>
        <a:prstGeom prst="line">
          <a:avLst/>
        </a:prstGeom>
        <a:noFill/>
        <a:ln w="9360">
          <a:solidFill>
            <a:srgbClr val="000000"/>
          </a:solidFill>
          <a:miter lim="800000"/>
          <a:headEnd/>
          <a:tailEnd/>
        </a:ln>
        <a:extLst>
          <a:ext uri="{909E8E84-426E-40dd-AFC4-6F175D3DCCD1}">
            <a14:hiddenFill xmlns:a14="http://schemas.microsoft.com/office/drawing/2010/main" xmlns="">
              <a:noFill/>
            </a14:hiddenFill>
          </a:ext>
        </a:extLst>
      </xdr:spPr>
    </xdr:sp>
    <xdr:clientData/>
  </xdr:twoCellAnchor>
  <xdr:twoCellAnchor>
    <xdr:from>
      <xdr:col>5</xdr:col>
      <xdr:colOff>19050</xdr:colOff>
      <xdr:row>71</xdr:row>
      <xdr:rowOff>57150</xdr:rowOff>
    </xdr:from>
    <xdr:to>
      <xdr:col>5</xdr:col>
      <xdr:colOff>19050</xdr:colOff>
      <xdr:row>71</xdr:row>
      <xdr:rowOff>114300</xdr:rowOff>
    </xdr:to>
    <xdr:sp macro="" textlink="">
      <xdr:nvSpPr>
        <xdr:cNvPr id="56" name="Line 10">
          <a:extLst>
            <a:ext uri="{FF2B5EF4-FFF2-40B4-BE49-F238E27FC236}">
              <a16:creationId xmlns:a16="http://schemas.microsoft.com/office/drawing/2014/main" id="{AE8C8AE6-5A0E-3446-BC44-3A62E14735AF}"/>
            </a:ext>
          </a:extLst>
        </xdr:cNvPr>
        <xdr:cNvSpPr>
          <a:spLocks noChangeShapeType="1"/>
        </xdr:cNvSpPr>
      </xdr:nvSpPr>
      <xdr:spPr bwMode="auto">
        <a:xfrm flipV="1">
          <a:off x="5920317" y="15390283"/>
          <a:ext cx="0" cy="57150"/>
        </a:xfrm>
        <a:prstGeom prst="line">
          <a:avLst/>
        </a:prstGeom>
        <a:noFill/>
        <a:ln w="9360">
          <a:solidFill>
            <a:srgbClr val="000000"/>
          </a:solidFill>
          <a:miter lim="800000"/>
          <a:headEnd/>
          <a:tailEnd/>
        </a:ln>
        <a:extLst>
          <a:ext uri="{909E8E84-426E-40dd-AFC4-6F175D3DCCD1}">
            <a14:hiddenFill xmlns:a14="http://schemas.microsoft.com/office/drawing/2010/main" xmlns="">
              <a:noFill/>
            </a14:hiddenFill>
          </a:ext>
        </a:extLst>
      </xdr:spPr>
    </xdr:sp>
    <xdr:clientData/>
  </xdr:twoCellAnchor>
  <xdr:twoCellAnchor>
    <xdr:from>
      <xdr:col>5</xdr:col>
      <xdr:colOff>19050</xdr:colOff>
      <xdr:row>85</xdr:row>
      <xdr:rowOff>57150</xdr:rowOff>
    </xdr:from>
    <xdr:to>
      <xdr:col>5</xdr:col>
      <xdr:colOff>19050</xdr:colOff>
      <xdr:row>85</xdr:row>
      <xdr:rowOff>114300</xdr:rowOff>
    </xdr:to>
    <xdr:sp macro="" textlink="">
      <xdr:nvSpPr>
        <xdr:cNvPr id="57" name="Line 14">
          <a:extLst>
            <a:ext uri="{FF2B5EF4-FFF2-40B4-BE49-F238E27FC236}">
              <a16:creationId xmlns:a16="http://schemas.microsoft.com/office/drawing/2014/main" id="{0C8B8BBE-F3F6-9B43-B8C0-13A53E9E5D6C}"/>
            </a:ext>
          </a:extLst>
        </xdr:cNvPr>
        <xdr:cNvSpPr>
          <a:spLocks noChangeShapeType="1"/>
        </xdr:cNvSpPr>
      </xdr:nvSpPr>
      <xdr:spPr bwMode="auto">
        <a:xfrm flipV="1">
          <a:off x="5920317" y="18260483"/>
          <a:ext cx="0" cy="57150"/>
        </a:xfrm>
        <a:prstGeom prst="line">
          <a:avLst/>
        </a:prstGeom>
        <a:noFill/>
        <a:ln w="9360">
          <a:solidFill>
            <a:srgbClr val="000000"/>
          </a:solidFill>
          <a:miter lim="800000"/>
          <a:headEnd/>
          <a:tailEnd/>
        </a:ln>
        <a:extLst>
          <a:ext uri="{909E8E84-426E-40dd-AFC4-6F175D3DCCD1}">
            <a14:hiddenFill xmlns:a14="http://schemas.microsoft.com/office/drawing/2010/main" xmlns="">
              <a:noFill/>
            </a14:hiddenFill>
          </a:ext>
        </a:extLst>
      </xdr:spPr>
    </xdr:sp>
    <xdr:clientData/>
  </xdr:twoCellAnchor>
  <xdr:twoCellAnchor>
    <xdr:from>
      <xdr:col>5</xdr:col>
      <xdr:colOff>19050</xdr:colOff>
      <xdr:row>91</xdr:row>
      <xdr:rowOff>57150</xdr:rowOff>
    </xdr:from>
    <xdr:to>
      <xdr:col>5</xdr:col>
      <xdr:colOff>19050</xdr:colOff>
      <xdr:row>91</xdr:row>
      <xdr:rowOff>142875</xdr:rowOff>
    </xdr:to>
    <xdr:sp macro="" textlink="">
      <xdr:nvSpPr>
        <xdr:cNvPr id="58" name="Line 18">
          <a:extLst>
            <a:ext uri="{FF2B5EF4-FFF2-40B4-BE49-F238E27FC236}">
              <a16:creationId xmlns:a16="http://schemas.microsoft.com/office/drawing/2014/main" id="{F062F8D6-6860-1446-AACD-5A3B77597FDD}"/>
            </a:ext>
          </a:extLst>
        </xdr:cNvPr>
        <xdr:cNvSpPr>
          <a:spLocks noChangeShapeType="1"/>
        </xdr:cNvSpPr>
      </xdr:nvSpPr>
      <xdr:spPr bwMode="auto">
        <a:xfrm flipV="1">
          <a:off x="5920317" y="19725217"/>
          <a:ext cx="0" cy="85725"/>
        </a:xfrm>
        <a:prstGeom prst="line">
          <a:avLst/>
        </a:prstGeom>
        <a:noFill/>
        <a:ln w="9360">
          <a:solidFill>
            <a:srgbClr val="000000"/>
          </a:solidFill>
          <a:miter lim="800000"/>
          <a:headEnd/>
          <a:tailEnd/>
        </a:ln>
        <a:extLst>
          <a:ext uri="{909E8E84-426E-40dd-AFC4-6F175D3DCCD1}">
            <a14:hiddenFill xmlns:a14="http://schemas.microsoft.com/office/drawing/2010/main" xmlns="">
              <a:noFill/>
            </a14:hiddenFill>
          </a:ext>
        </a:extLst>
      </xdr:spPr>
    </xdr:sp>
    <xdr:clientData/>
  </xdr:twoCellAnchor>
  <xdr:twoCellAnchor>
    <xdr:from>
      <xdr:col>5</xdr:col>
      <xdr:colOff>19050</xdr:colOff>
      <xdr:row>108</xdr:row>
      <xdr:rowOff>57150</xdr:rowOff>
    </xdr:from>
    <xdr:to>
      <xdr:col>5</xdr:col>
      <xdr:colOff>19050</xdr:colOff>
      <xdr:row>108</xdr:row>
      <xdr:rowOff>114300</xdr:rowOff>
    </xdr:to>
    <xdr:sp macro="" textlink="">
      <xdr:nvSpPr>
        <xdr:cNvPr id="59" name="Line 2">
          <a:extLst>
            <a:ext uri="{FF2B5EF4-FFF2-40B4-BE49-F238E27FC236}">
              <a16:creationId xmlns:a16="http://schemas.microsoft.com/office/drawing/2014/main" id="{14C31BDA-42CD-314F-9455-E2F077843475}"/>
            </a:ext>
          </a:extLst>
        </xdr:cNvPr>
        <xdr:cNvSpPr>
          <a:spLocks noChangeShapeType="1"/>
        </xdr:cNvSpPr>
      </xdr:nvSpPr>
      <xdr:spPr bwMode="auto">
        <a:xfrm flipV="1">
          <a:off x="5920317" y="23196550"/>
          <a:ext cx="0" cy="57150"/>
        </a:xfrm>
        <a:prstGeom prst="line">
          <a:avLst/>
        </a:prstGeom>
        <a:noFill/>
        <a:ln w="9360">
          <a:solidFill>
            <a:srgbClr val="000000"/>
          </a:solidFill>
          <a:miter lim="800000"/>
          <a:headEnd/>
          <a:tailEnd/>
        </a:ln>
        <a:extLst>
          <a:ext uri="{909E8E84-426E-40dd-AFC4-6F175D3DCCD1}">
            <a14:hiddenFill xmlns:a14="http://schemas.microsoft.com/office/drawing/2010/main" xmlns="">
              <a:noFill/>
            </a14:hiddenFill>
          </a:ext>
        </a:extLst>
      </xdr:spPr>
    </xdr:sp>
    <xdr:clientData/>
  </xdr:twoCellAnchor>
  <xdr:twoCellAnchor>
    <xdr:from>
      <xdr:col>5</xdr:col>
      <xdr:colOff>19050</xdr:colOff>
      <xdr:row>111</xdr:row>
      <xdr:rowOff>57150</xdr:rowOff>
    </xdr:from>
    <xdr:to>
      <xdr:col>5</xdr:col>
      <xdr:colOff>19050</xdr:colOff>
      <xdr:row>111</xdr:row>
      <xdr:rowOff>114300</xdr:rowOff>
    </xdr:to>
    <xdr:sp macro="" textlink="">
      <xdr:nvSpPr>
        <xdr:cNvPr id="60" name="Line 27">
          <a:extLst>
            <a:ext uri="{FF2B5EF4-FFF2-40B4-BE49-F238E27FC236}">
              <a16:creationId xmlns:a16="http://schemas.microsoft.com/office/drawing/2014/main" id="{7E1DF030-FBA4-A74D-9186-6AE7F937BF52}"/>
            </a:ext>
          </a:extLst>
        </xdr:cNvPr>
        <xdr:cNvSpPr>
          <a:spLocks noChangeShapeType="1"/>
        </xdr:cNvSpPr>
      </xdr:nvSpPr>
      <xdr:spPr bwMode="auto">
        <a:xfrm flipV="1">
          <a:off x="5920317" y="23856950"/>
          <a:ext cx="0" cy="57150"/>
        </a:xfrm>
        <a:prstGeom prst="line">
          <a:avLst/>
        </a:prstGeom>
        <a:noFill/>
        <a:ln w="9360">
          <a:solidFill>
            <a:srgbClr val="000000"/>
          </a:solidFill>
          <a:miter lim="800000"/>
          <a:headEnd/>
          <a:tailEnd/>
        </a:ln>
        <a:extLst>
          <a:ext uri="{909E8E84-426E-40dd-AFC4-6F175D3DCCD1}">
            <a14:hiddenFill xmlns:a14="http://schemas.microsoft.com/office/drawing/2010/main" xmlns="">
              <a:noFill/>
            </a14:hiddenFill>
          </a:ext>
        </a:extLst>
      </xdr:spPr>
    </xdr:sp>
    <xdr:clientData/>
  </xdr:twoCellAnchor>
  <xdr:twoCellAnchor>
    <xdr:from>
      <xdr:col>5</xdr:col>
      <xdr:colOff>19050</xdr:colOff>
      <xdr:row>128</xdr:row>
      <xdr:rowOff>57150</xdr:rowOff>
    </xdr:from>
    <xdr:to>
      <xdr:col>5</xdr:col>
      <xdr:colOff>19050</xdr:colOff>
      <xdr:row>128</xdr:row>
      <xdr:rowOff>114300</xdr:rowOff>
    </xdr:to>
    <xdr:sp macro="" textlink="">
      <xdr:nvSpPr>
        <xdr:cNvPr id="61" name="Line 29">
          <a:extLst>
            <a:ext uri="{FF2B5EF4-FFF2-40B4-BE49-F238E27FC236}">
              <a16:creationId xmlns:a16="http://schemas.microsoft.com/office/drawing/2014/main" id="{BF711FB0-20CC-D543-8C22-B63205C4D1C9}"/>
            </a:ext>
          </a:extLst>
        </xdr:cNvPr>
        <xdr:cNvSpPr>
          <a:spLocks noChangeShapeType="1"/>
        </xdr:cNvSpPr>
      </xdr:nvSpPr>
      <xdr:spPr bwMode="auto">
        <a:xfrm flipV="1">
          <a:off x="5920317" y="27379083"/>
          <a:ext cx="0" cy="57150"/>
        </a:xfrm>
        <a:prstGeom prst="line">
          <a:avLst/>
        </a:prstGeom>
        <a:noFill/>
        <a:ln w="9360">
          <a:solidFill>
            <a:srgbClr val="000000"/>
          </a:solidFill>
          <a:miter lim="800000"/>
          <a:headEnd/>
          <a:tailEnd/>
        </a:ln>
        <a:extLst>
          <a:ext uri="{909E8E84-426E-40dd-AFC4-6F175D3DCCD1}">
            <a14:hiddenFill xmlns:a14="http://schemas.microsoft.com/office/drawing/2010/main" xmlns="">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269672</xdr:colOff>
      <xdr:row>0</xdr:row>
      <xdr:rowOff>0</xdr:rowOff>
    </xdr:from>
    <xdr:to>
      <xdr:col>2</xdr:col>
      <xdr:colOff>459798</xdr:colOff>
      <xdr:row>0</xdr:row>
      <xdr:rowOff>393700</xdr:rowOff>
    </xdr:to>
    <xdr:pic>
      <xdr:nvPicPr>
        <xdr:cNvPr id="2" name="Billede 1">
          <a:hlinkClick xmlns:r="http://schemas.openxmlformats.org/officeDocument/2006/relationships" r:id="rId1"/>
          <a:extLst>
            <a:ext uri="{FF2B5EF4-FFF2-40B4-BE49-F238E27FC236}">
              <a16:creationId xmlns:a16="http://schemas.microsoft.com/office/drawing/2014/main" id="{AE7824F0-D7D6-7041-80BD-AD908F6FC307}"/>
            </a:ext>
          </a:extLst>
        </xdr:cNvPr>
        <xdr:cNvPicPr>
          <a:picLocks noChangeAspect="1"/>
        </xdr:cNvPicPr>
      </xdr:nvPicPr>
      <xdr:blipFill>
        <a:blip xmlns:r="http://schemas.openxmlformats.org/officeDocument/2006/relationships" r:embed="rId2"/>
        <a:srcRect/>
        <a:stretch/>
      </xdr:blipFill>
      <xdr:spPr>
        <a:xfrm>
          <a:off x="269672" y="0"/>
          <a:ext cx="2234826" cy="393700"/>
        </a:xfrm>
        <a:prstGeom prst="rect">
          <a:avLst/>
        </a:prstGeom>
      </xdr:spPr>
    </xdr:pic>
    <xdr:clientData/>
  </xdr:twoCellAnchor>
  <xdr:twoCellAnchor editAs="oneCell">
    <xdr:from>
      <xdr:col>3</xdr:col>
      <xdr:colOff>259578</xdr:colOff>
      <xdr:row>0</xdr:row>
      <xdr:rowOff>0</xdr:rowOff>
    </xdr:from>
    <xdr:to>
      <xdr:col>5</xdr:col>
      <xdr:colOff>8036</xdr:colOff>
      <xdr:row>0</xdr:row>
      <xdr:rowOff>406400</xdr:rowOff>
    </xdr:to>
    <xdr:pic>
      <xdr:nvPicPr>
        <xdr:cNvPr id="3" name="Billede 2">
          <a:hlinkClick xmlns:r="http://schemas.openxmlformats.org/officeDocument/2006/relationships" r:id="rId3"/>
          <a:extLst>
            <a:ext uri="{FF2B5EF4-FFF2-40B4-BE49-F238E27FC236}">
              <a16:creationId xmlns:a16="http://schemas.microsoft.com/office/drawing/2014/main" id="{E0750DA6-4D35-6F49-B66B-06C4E2F85B4D}"/>
            </a:ext>
          </a:extLst>
        </xdr:cNvPr>
        <xdr:cNvPicPr>
          <a:picLocks noChangeAspect="1"/>
        </xdr:cNvPicPr>
      </xdr:nvPicPr>
      <xdr:blipFill>
        <a:blip xmlns:r="http://schemas.openxmlformats.org/officeDocument/2006/relationships" r:embed="rId4"/>
        <a:srcRect/>
        <a:stretch/>
      </xdr:blipFill>
      <xdr:spPr>
        <a:xfrm>
          <a:off x="3790178" y="0"/>
          <a:ext cx="2517058" cy="4064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227341</xdr:colOff>
      <xdr:row>0</xdr:row>
      <xdr:rowOff>28575</xdr:rowOff>
    </xdr:from>
    <xdr:to>
      <xdr:col>1</xdr:col>
      <xdr:colOff>1102279</xdr:colOff>
      <xdr:row>0</xdr:row>
      <xdr:rowOff>225429</xdr:rowOff>
    </xdr:to>
    <xdr:pic>
      <xdr:nvPicPr>
        <xdr:cNvPr id="10" name="Billede 9">
          <a:hlinkClick xmlns:r="http://schemas.openxmlformats.org/officeDocument/2006/relationships" r:id="rId1"/>
          <a:extLst>
            <a:ext uri="{FF2B5EF4-FFF2-40B4-BE49-F238E27FC236}">
              <a16:creationId xmlns:a16="http://schemas.microsoft.com/office/drawing/2014/main" id="{00000000-0008-0000-0B00-00000A000000}"/>
            </a:ext>
          </a:extLst>
        </xdr:cNvPr>
        <xdr:cNvPicPr>
          <a:picLocks noChangeAspect="1"/>
        </xdr:cNvPicPr>
      </xdr:nvPicPr>
      <xdr:blipFill>
        <a:blip xmlns:r="http://schemas.openxmlformats.org/officeDocument/2006/relationships" r:embed="rId2"/>
        <a:srcRect/>
        <a:stretch/>
      </xdr:blipFill>
      <xdr:spPr>
        <a:xfrm>
          <a:off x="227341" y="28575"/>
          <a:ext cx="1549983" cy="273054"/>
        </a:xfrm>
        <a:prstGeom prst="rect">
          <a:avLst/>
        </a:prstGeom>
      </xdr:spPr>
    </xdr:pic>
    <xdr:clientData/>
  </xdr:twoCellAnchor>
  <xdr:twoCellAnchor editAs="oneCell">
    <xdr:from>
      <xdr:col>3</xdr:col>
      <xdr:colOff>883060</xdr:colOff>
      <xdr:row>0</xdr:row>
      <xdr:rowOff>9525</xdr:rowOff>
    </xdr:from>
    <xdr:to>
      <xdr:col>5</xdr:col>
      <xdr:colOff>363444</xdr:colOff>
      <xdr:row>0</xdr:row>
      <xdr:rowOff>211734</xdr:rowOff>
    </xdr:to>
    <xdr:pic>
      <xdr:nvPicPr>
        <xdr:cNvPr id="17" name="Billede 16">
          <a:hlinkClick xmlns:r="http://schemas.openxmlformats.org/officeDocument/2006/relationships" r:id="rId3"/>
          <a:extLst>
            <a:ext uri="{FF2B5EF4-FFF2-40B4-BE49-F238E27FC236}">
              <a16:creationId xmlns:a16="http://schemas.microsoft.com/office/drawing/2014/main" id="{00000000-0008-0000-0B00-000011000000}"/>
            </a:ext>
          </a:extLst>
        </xdr:cNvPr>
        <xdr:cNvPicPr>
          <a:picLocks noChangeAspect="1"/>
        </xdr:cNvPicPr>
      </xdr:nvPicPr>
      <xdr:blipFill>
        <a:blip xmlns:r="http://schemas.openxmlformats.org/officeDocument/2006/relationships" r:embed="rId4"/>
        <a:srcRect/>
        <a:stretch/>
      </xdr:blipFill>
      <xdr:spPr>
        <a:xfrm>
          <a:off x="4281168" y="9525"/>
          <a:ext cx="1802997" cy="291109"/>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Tove Dohn" id="{4CFBDF9A-B7B6-4148-99B8-675E602F24B3}" userId="Tove Dohn" providerId="None"/>
  <person displayName="Tove Dohn" id="{EC1CC869-23FC-024D-A876-BDE7DE7FC7B7}" userId="S::tove@friskolerne.dk::cf832d71-50f8-4653-95bd-ced5cfa07810"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E5" personId="{4CFBDF9A-B7B6-4148-99B8-675E602F24B3}" id="{BE3AF0E5-2F6A-C944-BFC4-89EE673A2615}">
    <text>Tove Dohn: 
Elevtal under 350 = 353.412,- i årligt grundbeløb. 
Elevtal på eller over 350 = 396.929,- i årligt  grundbeløb. 
Hertil  kan der være et udligningstillæg beregnet i 2019 samt lokale tillæg.</text>
  </threadedComment>
  <threadedComment ref="F5" personId="{4CFBDF9A-B7B6-4148-99B8-675E602F24B3}" id="{4CD2A72C-3824-A14F-84FD-1FE008D1932F}">
    <text>Tove Dohn: 
Elevtal under 350 = 353.412,- i årligt grundbeløb. 
Elevtal på eller over 350 = 396.929,- i årligt  grundbeløb. 
Hertil  kan der være et udligningstillæg beregnet i 2019 samt lokale tillæg.</text>
  </threadedComment>
  <threadedComment ref="B87" dT="2020-10-10T09:00:11.07" personId="{EC1CC869-23FC-024D-A876-BDE7DE7FC7B7}" id="{5B3B0BD1-7452-0042-827E-F576144014A8}">
    <text xml:space="preserve">Hvis en ansat har mere end 1 kolonne pga. feks. lønændring, barsel eller fratrædelse skal kun oplyse skyldige feriedage i en af kolonnerne. </text>
  </threadedComment>
</ThreadedComments>
</file>

<file path=xl/threadedComments/threadedComment2.xml><?xml version="1.0" encoding="utf-8"?>
<ThreadedComments xmlns="http://schemas.microsoft.com/office/spreadsheetml/2018/threadedcomments" xmlns:x="http://schemas.openxmlformats.org/spreadsheetml/2006/main">
  <threadedComment ref="B74" dT="2020-10-10T09:00:11.07" personId="{EC1CC869-23FC-024D-A876-BDE7DE7FC7B7}" id="{C6A80ED0-6B1D-4048-917F-FBA122BEA6A8}">
    <text xml:space="preserve">Hvis en ansat har mere end 1 kolonne pga. feks. lønændring, barsel eller fratrædelse skal kun oplyse skyldige feriedage i en af kolonnerne. </text>
  </threadedComment>
</ThreadedComments>
</file>

<file path=xl/threadedComments/threadedComment3.xml><?xml version="1.0" encoding="utf-8"?>
<ThreadedComments xmlns="http://schemas.microsoft.com/office/spreadsheetml/2018/threadedcomments" xmlns:x="http://schemas.openxmlformats.org/spreadsheetml/2006/main">
  <threadedComment ref="E3" dT="2019-09-17T10:46:06.21" personId="{EC1CC869-23FC-024D-A876-BDE7DE7FC7B7}" id="{CE2744AF-F4E2-D446-97F9-4F7599637F9D}">
    <text>Bruges særligt i forbindelse med opstart af daginstitution, hvor antallet af forældrebetalte rater i dette budgetår kan være lavere end i et helt almindeligt finansår.
Er daginstitutionen kørende og altså ikke nyopstartet skrives samme antal mdr. i begge celler.</text>
  </threadedComment>
  <threadedComment ref="T3" dT="2019-09-17T10:48:16.67" personId="{EC1CC869-23FC-024D-A876-BDE7DE7FC7B7}" id="{181D65AC-B732-3642-B9B1-7EBE4E540F62}">
    <text>Bruges særligt i forbindelse med opstart af daginstitution, hvor antallet af kommunal betalte rater i dette budgetår kan være lavere end i et helt almindeligt finansår.
Er daginstitutionen kørende og altså ikke nyopstartet skrives samme antal mdr. i begge celler.</text>
  </threadedComment>
  <threadedComment ref="E56" dT="2019-09-17T10:46:06.21" personId="{EC1CC869-23FC-024D-A876-BDE7DE7FC7B7}" id="{B02B7958-3E4A-7841-8A55-DE33D8167A1E}">
    <text>Bruges særligt i forbindelse med opstart af daginstitution, hvor antallet af forældrebetalte rater i dette budgetår kan være lavere end i et helt almindeligt finansår.
Er daginstitutionen kørende og altså ikke nyopstartet skrives samme antal mdr. i begge celler.</text>
  </threadedComment>
  <threadedComment ref="T56" dT="2019-09-17T10:48:16.67" personId="{EC1CC869-23FC-024D-A876-BDE7DE7FC7B7}" id="{380510AB-B41A-614F-A30F-597F22F22FDE}">
    <text>Bruges særligt i forbindelse med opstart af daginstitution, hvor antallet af kommunal betalte rater i dette budgetår kan være lavere end i et helt almindeligt finansår.
Er daginstitutionen kørende og altså ikke nyopstartet skrives samme antal mdr. i begge celler.</text>
  </threadedComment>
</ThreadedComment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6.v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2.bin"/><Relationship Id="rId6" Type="http://schemas.microsoft.com/office/2017/10/relationships/threadedComment" Target="../threadedComments/threadedComment2.xml"/><Relationship Id="rId5" Type="http://schemas.openxmlformats.org/officeDocument/2006/relationships/comments" Target="../comments2.xml"/><Relationship Id="rId4" Type="http://schemas.openxmlformats.org/officeDocument/2006/relationships/vmlDrawing" Target="../drawings/vmlDrawing8.vml"/></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drawing" Target="../drawings/drawing7.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drawing" Target="../drawings/drawing9.xml"/><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drawing" Target="../drawings/drawing10.xml"/></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drawing" Target="../drawings/drawing11.xml"/></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drawing" Target="../drawings/drawing12.xml"/></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drawing" Target="../drawings/drawing13.xml"/></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drawing" Target="../drawings/drawing14.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35"/>
  <sheetViews>
    <sheetView zoomScale="150" zoomScaleNormal="100" workbookViewId="0">
      <selection activeCell="B36" sqref="B36"/>
    </sheetView>
  </sheetViews>
  <sheetFormatPr baseColWidth="10" defaultColWidth="11.5" defaultRowHeight="13"/>
  <cols>
    <col min="1" max="1" width="8" customWidth="1"/>
    <col min="10" max="10" width="21.83203125" customWidth="1"/>
  </cols>
  <sheetData>
    <row r="1" spans="1:10" s="2701" customFormat="1"/>
    <row r="2" spans="1:10" ht="25">
      <c r="A2" s="2704" t="s">
        <v>0</v>
      </c>
      <c r="B2" s="2704"/>
      <c r="C2" s="2704"/>
      <c r="D2" s="2704"/>
      <c r="E2" s="2704"/>
      <c r="F2" s="2704"/>
      <c r="G2" s="2704"/>
      <c r="H2" s="2704"/>
      <c r="I2" s="2704"/>
      <c r="J2" s="2704"/>
    </row>
    <row r="3" spans="1:10" ht="16">
      <c r="A3" s="2705" t="s">
        <v>1</v>
      </c>
      <c r="B3" s="2705"/>
      <c r="C3" s="2705"/>
      <c r="D3" s="2705"/>
      <c r="E3" s="2705"/>
      <c r="F3" s="2705"/>
      <c r="G3" s="2705"/>
      <c r="H3" s="2705"/>
      <c r="I3" s="2705"/>
      <c r="J3" s="2705"/>
    </row>
    <row r="4" spans="1:10" ht="16">
      <c r="A4" s="361"/>
      <c r="B4" s="361"/>
      <c r="C4" s="361"/>
      <c r="D4" s="361"/>
      <c r="E4" s="361"/>
      <c r="F4" s="361"/>
      <c r="G4" s="361"/>
      <c r="H4" s="361"/>
      <c r="I4" s="361"/>
      <c r="J4" s="361"/>
    </row>
    <row r="5" spans="1:10" ht="16">
      <c r="A5" s="362"/>
      <c r="B5" s="362"/>
      <c r="C5" s="362"/>
      <c r="D5" s="362"/>
      <c r="E5" s="362"/>
      <c r="F5" s="362"/>
      <c r="G5" s="362"/>
      <c r="H5" s="362"/>
      <c r="I5" s="362"/>
      <c r="J5" s="362"/>
    </row>
    <row r="6" spans="1:10" s="319" customFormat="1" ht="27" customHeight="1">
      <c r="A6" s="963" t="s">
        <v>2</v>
      </c>
      <c r="B6" s="964"/>
      <c r="C6" s="964"/>
      <c r="D6" s="964"/>
      <c r="E6" s="964"/>
      <c r="F6" s="964"/>
      <c r="G6" s="964"/>
      <c r="H6" s="964"/>
      <c r="I6" s="964"/>
      <c r="J6" s="965"/>
    </row>
    <row r="7" spans="1:10" s="319" customFormat="1" ht="14" customHeight="1">
      <c r="A7" s="2706" t="s">
        <v>3</v>
      </c>
      <c r="B7" s="2707"/>
      <c r="C7" s="2707"/>
      <c r="D7" s="2707"/>
      <c r="E7" s="2707"/>
      <c r="F7" s="2707"/>
      <c r="G7" s="2707"/>
      <c r="H7" s="2707"/>
      <c r="I7" s="2707"/>
      <c r="J7" s="2708"/>
    </row>
    <row r="8" spans="1:10" ht="19" customHeight="1">
      <c r="A8" s="2709" t="s">
        <v>4</v>
      </c>
      <c r="B8" s="2710"/>
      <c r="C8" s="2710"/>
      <c r="D8" s="2710"/>
      <c r="E8" s="2710"/>
      <c r="F8" s="2710"/>
      <c r="G8" s="2710"/>
      <c r="H8" s="2710"/>
      <c r="I8" s="2710"/>
      <c r="J8" s="2711"/>
    </row>
    <row r="9" spans="1:10" ht="17" customHeight="1">
      <c r="A9" s="2703">
        <v>1</v>
      </c>
      <c r="B9" s="2702" t="s">
        <v>5</v>
      </c>
      <c r="C9" s="2702"/>
      <c r="D9" s="2702"/>
      <c r="E9" s="2702"/>
      <c r="F9" s="2702"/>
      <c r="G9" s="2702"/>
      <c r="H9" s="2702"/>
      <c r="I9" s="2702"/>
      <c r="J9" s="2702"/>
    </row>
    <row r="10" spans="1:10" ht="18" customHeight="1">
      <c r="A10" s="2703"/>
      <c r="B10" s="2702"/>
      <c r="C10" s="2702"/>
      <c r="D10" s="2702"/>
      <c r="E10" s="2702"/>
      <c r="F10" s="2702"/>
      <c r="G10" s="2702"/>
      <c r="H10" s="2702"/>
      <c r="I10" s="2702"/>
      <c r="J10" s="2702"/>
    </row>
    <row r="11" spans="1:10" ht="35" customHeight="1">
      <c r="A11" s="2734">
        <v>2</v>
      </c>
      <c r="B11" s="2717" t="s">
        <v>6</v>
      </c>
      <c r="C11" s="2717"/>
      <c r="D11" s="2717"/>
      <c r="E11" s="2717"/>
      <c r="F11" s="2717"/>
      <c r="G11" s="2717"/>
      <c r="H11" s="2717"/>
      <c r="I11" s="2717"/>
      <c r="J11" s="2717"/>
    </row>
    <row r="12" spans="1:10" ht="37" customHeight="1">
      <c r="A12" s="2735"/>
      <c r="B12" s="2717"/>
      <c r="C12" s="2717"/>
      <c r="D12" s="2717"/>
      <c r="E12" s="2717"/>
      <c r="F12" s="2717"/>
      <c r="G12" s="2717"/>
      <c r="H12" s="2717"/>
      <c r="I12" s="2717"/>
      <c r="J12" s="2717"/>
    </row>
    <row r="13" spans="1:10" ht="18" customHeight="1">
      <c r="A13" s="2735"/>
      <c r="B13" s="2737" t="s">
        <v>7</v>
      </c>
      <c r="C13" s="2738"/>
      <c r="D13" s="2738"/>
      <c r="E13" s="2738"/>
      <c r="F13" s="2738"/>
      <c r="G13" s="2738"/>
      <c r="H13" s="2738"/>
      <c r="I13" s="2738"/>
      <c r="J13" s="2739"/>
    </row>
    <row r="14" spans="1:10" ht="17" customHeight="1">
      <c r="A14" s="2735"/>
      <c r="B14" s="2714" t="s">
        <v>8</v>
      </c>
      <c r="C14" s="2715"/>
      <c r="D14" s="2715"/>
      <c r="E14" s="2715"/>
      <c r="F14" s="2715"/>
      <c r="G14" s="2715"/>
      <c r="H14" s="2715"/>
      <c r="I14" s="2715"/>
      <c r="J14" s="2716"/>
    </row>
    <row r="15" spans="1:10" ht="18" customHeight="1">
      <c r="A15" s="2735"/>
      <c r="B15" s="2730" t="s">
        <v>1549</v>
      </c>
      <c r="C15" s="2730"/>
      <c r="D15" s="2730"/>
      <c r="E15" s="2730"/>
      <c r="F15" s="2730"/>
      <c r="G15" s="2730"/>
      <c r="H15" s="2730"/>
      <c r="I15" s="2730"/>
      <c r="J15" s="2730"/>
    </row>
    <row r="16" spans="1:10" ht="2" customHeight="1">
      <c r="A16" s="2735"/>
      <c r="B16" s="2730"/>
      <c r="C16" s="2730"/>
      <c r="D16" s="2730"/>
      <c r="E16" s="2730"/>
      <c r="F16" s="2730"/>
      <c r="G16" s="2730"/>
      <c r="H16" s="2730"/>
      <c r="I16" s="2730"/>
      <c r="J16" s="2730"/>
    </row>
    <row r="17" spans="1:10" ht="38" customHeight="1">
      <c r="A17" s="2735"/>
      <c r="B17" s="2730"/>
      <c r="C17" s="2730"/>
      <c r="D17" s="2730"/>
      <c r="E17" s="2730"/>
      <c r="F17" s="2730"/>
      <c r="G17" s="2730"/>
      <c r="H17" s="2730"/>
      <c r="I17" s="2730"/>
      <c r="J17" s="2730"/>
    </row>
    <row r="18" spans="1:10" ht="15" hidden="1" customHeight="1">
      <c r="A18" s="2735"/>
      <c r="B18" s="2730"/>
      <c r="C18" s="2730"/>
      <c r="D18" s="2730"/>
      <c r="E18" s="2730"/>
      <c r="F18" s="2730"/>
      <c r="G18" s="2730"/>
      <c r="H18" s="2730"/>
      <c r="I18" s="2730"/>
      <c r="J18" s="2730"/>
    </row>
    <row r="19" spans="1:10" ht="18" customHeight="1">
      <c r="A19" s="2736"/>
      <c r="B19" s="2730"/>
      <c r="C19" s="2730"/>
      <c r="D19" s="2730"/>
      <c r="E19" s="2730"/>
      <c r="F19" s="2730"/>
      <c r="G19" s="2730"/>
      <c r="H19" s="2730"/>
      <c r="I19" s="2730"/>
      <c r="J19" s="2730"/>
    </row>
    <row r="20" spans="1:10" ht="14" customHeight="1">
      <c r="A20" s="2732">
        <v>3</v>
      </c>
      <c r="B20" s="2731" t="s">
        <v>1550</v>
      </c>
      <c r="C20" s="2731"/>
      <c r="D20" s="2731"/>
      <c r="E20" s="2731"/>
      <c r="F20" s="2731"/>
      <c r="G20" s="2731"/>
      <c r="H20" s="2731"/>
      <c r="I20" s="2731"/>
      <c r="J20" s="2731"/>
    </row>
    <row r="21" spans="1:10" ht="18" customHeight="1">
      <c r="A21" s="2732"/>
      <c r="B21" s="2731"/>
      <c r="C21" s="2731"/>
      <c r="D21" s="2731"/>
      <c r="E21" s="2731"/>
      <c r="F21" s="2731"/>
      <c r="G21" s="2731"/>
      <c r="H21" s="2731"/>
      <c r="I21" s="2731"/>
      <c r="J21" s="2731"/>
    </row>
    <row r="22" spans="1:10" ht="18" customHeight="1">
      <c r="A22" s="2700">
        <v>4</v>
      </c>
      <c r="B22" s="2719" t="s">
        <v>9</v>
      </c>
      <c r="C22" s="2719"/>
      <c r="D22" s="2719"/>
      <c r="E22" s="2719"/>
      <c r="F22" s="2719"/>
      <c r="G22" s="2719"/>
      <c r="H22" s="2719"/>
      <c r="I22" s="2719"/>
      <c r="J22" s="2719"/>
    </row>
    <row r="23" spans="1:10" ht="1" customHeight="1">
      <c r="A23" s="2700"/>
      <c r="B23" s="2719"/>
      <c r="C23" s="2719"/>
      <c r="D23" s="2719"/>
      <c r="E23" s="2719"/>
      <c r="F23" s="2719"/>
      <c r="G23" s="2719"/>
      <c r="H23" s="2719"/>
      <c r="I23" s="2719"/>
      <c r="J23" s="2719"/>
    </row>
    <row r="24" spans="1:10" ht="18" customHeight="1">
      <c r="A24" s="2700"/>
      <c r="B24" s="2719"/>
      <c r="C24" s="2719"/>
      <c r="D24" s="2719"/>
      <c r="E24" s="2719"/>
      <c r="F24" s="2719"/>
      <c r="G24" s="2719"/>
      <c r="H24" s="2719"/>
      <c r="I24" s="2719"/>
      <c r="J24" s="2719"/>
    </row>
    <row r="25" spans="1:10" ht="68" customHeight="1">
      <c r="A25" s="2700">
        <v>5</v>
      </c>
      <c r="B25" s="2718" t="s">
        <v>10</v>
      </c>
      <c r="C25" s="2718"/>
      <c r="D25" s="2718"/>
      <c r="E25" s="2718"/>
      <c r="F25" s="2718"/>
      <c r="G25" s="2718"/>
      <c r="H25" s="2718"/>
      <c r="I25" s="2718"/>
      <c r="J25" s="2718"/>
    </row>
    <row r="26" spans="1:10" ht="13" customHeight="1">
      <c r="A26" s="2700"/>
      <c r="B26" s="2718"/>
      <c r="C26" s="2718"/>
      <c r="D26" s="2718"/>
      <c r="E26" s="2718"/>
      <c r="F26" s="2718"/>
      <c r="G26" s="2718"/>
      <c r="H26" s="2718"/>
      <c r="I26" s="2718"/>
      <c r="J26" s="2718"/>
    </row>
    <row r="27" spans="1:10" ht="18" customHeight="1">
      <c r="A27" s="2729">
        <v>7</v>
      </c>
      <c r="B27" s="2720" t="s">
        <v>11</v>
      </c>
      <c r="C27" s="2721"/>
      <c r="D27" s="2721"/>
      <c r="E27" s="2721"/>
      <c r="F27" s="2721"/>
      <c r="G27" s="2721"/>
      <c r="H27" s="2721"/>
      <c r="I27" s="2721"/>
      <c r="J27" s="2722"/>
    </row>
    <row r="28" spans="1:10" ht="18" customHeight="1">
      <c r="A28" s="2729"/>
      <c r="B28" s="2723"/>
      <c r="C28" s="2724"/>
      <c r="D28" s="2724"/>
      <c r="E28" s="2724"/>
      <c r="F28" s="2724"/>
      <c r="G28" s="2724"/>
      <c r="H28" s="2724"/>
      <c r="I28" s="2724"/>
      <c r="J28" s="2725"/>
    </row>
    <row r="29" spans="1:10" ht="18" customHeight="1">
      <c r="A29" s="2729"/>
      <c r="B29" s="2723"/>
      <c r="C29" s="2724"/>
      <c r="D29" s="2724"/>
      <c r="E29" s="2724"/>
      <c r="F29" s="2724"/>
      <c r="G29" s="2724"/>
      <c r="H29" s="2724"/>
      <c r="I29" s="2724"/>
      <c r="J29" s="2725"/>
    </row>
    <row r="30" spans="1:10" ht="45" customHeight="1">
      <c r="A30" s="2729"/>
      <c r="B30" s="2723"/>
      <c r="C30" s="2724"/>
      <c r="D30" s="2724"/>
      <c r="E30" s="2724"/>
      <c r="F30" s="2724"/>
      <c r="G30" s="2724"/>
      <c r="H30" s="2724"/>
      <c r="I30" s="2724"/>
      <c r="J30" s="2725"/>
    </row>
    <row r="31" spans="1:10" ht="5" customHeight="1">
      <c r="A31" s="2729"/>
      <c r="B31" s="2726"/>
      <c r="C31" s="2727"/>
      <c r="D31" s="2727"/>
      <c r="E31" s="2727"/>
      <c r="F31" s="2727"/>
      <c r="G31" s="2727"/>
      <c r="H31" s="2727"/>
      <c r="I31" s="2727"/>
      <c r="J31" s="2728"/>
    </row>
    <row r="32" spans="1:10" ht="18" customHeight="1">
      <c r="A32" s="2729">
        <v>8</v>
      </c>
      <c r="B32" s="2733" t="s">
        <v>12</v>
      </c>
      <c r="C32" s="2733"/>
      <c r="D32" s="2733"/>
      <c r="E32" s="2733"/>
      <c r="F32" s="2733"/>
      <c r="G32" s="2733"/>
      <c r="H32" s="2733"/>
      <c r="I32" s="2733"/>
      <c r="J32" s="2733"/>
    </row>
    <row r="33" spans="1:10" ht="18" customHeight="1">
      <c r="A33" s="2729"/>
      <c r="B33" s="2733"/>
      <c r="C33" s="2733"/>
      <c r="D33" s="2733"/>
      <c r="E33" s="2733"/>
      <c r="F33" s="2733"/>
      <c r="G33" s="2733"/>
      <c r="H33" s="2733"/>
      <c r="I33" s="2733"/>
      <c r="J33" s="2733"/>
    </row>
    <row r="34" spans="1:10" ht="101" customHeight="1">
      <c r="A34" s="2713">
        <v>9</v>
      </c>
      <c r="B34" s="2712" t="s">
        <v>1551</v>
      </c>
      <c r="C34" s="2712"/>
      <c r="D34" s="2712"/>
      <c r="E34" s="2712"/>
      <c r="F34" s="2712"/>
      <c r="G34" s="2712"/>
      <c r="H34" s="2712"/>
      <c r="I34" s="2712"/>
      <c r="J34" s="2712"/>
    </row>
    <row r="35" spans="1:10">
      <c r="A35" s="2713"/>
      <c r="B35" s="2712"/>
      <c r="C35" s="2712"/>
      <c r="D35" s="2712"/>
      <c r="E35" s="2712"/>
      <c r="F35" s="2712"/>
      <c r="G35" s="2712"/>
      <c r="H35" s="2712"/>
      <c r="I35" s="2712"/>
      <c r="J35" s="2712"/>
    </row>
  </sheetData>
  <sheetProtection sheet="1" objects="1" scenarios="1"/>
  <mergeCells count="24">
    <mergeCell ref="B34:J35"/>
    <mergeCell ref="A34:A35"/>
    <mergeCell ref="B14:J14"/>
    <mergeCell ref="B11:J12"/>
    <mergeCell ref="B25:J26"/>
    <mergeCell ref="B22:J24"/>
    <mergeCell ref="B27:J31"/>
    <mergeCell ref="A27:A31"/>
    <mergeCell ref="B15:J19"/>
    <mergeCell ref="B20:J21"/>
    <mergeCell ref="A20:A21"/>
    <mergeCell ref="A22:A24"/>
    <mergeCell ref="B32:J33"/>
    <mergeCell ref="A11:A19"/>
    <mergeCell ref="B13:J13"/>
    <mergeCell ref="A32:A33"/>
    <mergeCell ref="A25:A26"/>
    <mergeCell ref="A1:XFD1"/>
    <mergeCell ref="B9:J10"/>
    <mergeCell ref="A9:A10"/>
    <mergeCell ref="A2:J2"/>
    <mergeCell ref="A3:J3"/>
    <mergeCell ref="A7:J7"/>
    <mergeCell ref="A8:J8"/>
  </mergeCells>
  <phoneticPr fontId="55" type="noConversion"/>
  <pageMargins left="0.7" right="0.7" top="0.75" bottom="0.75" header="0.3" footer="0.3"/>
  <pageSetup paperSize="9" scale="51" orientation="portrait" horizontalDpi="0" verticalDpi="0"/>
  <colBreaks count="1" manualBreakCount="1">
    <brk id="10" max="1048575" man="1"/>
  </col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Ark5">
    <tabColor rgb="FFFF0000"/>
    <pageSetUpPr fitToPage="1"/>
  </sheetPr>
  <dimension ref="A1:BQ248"/>
  <sheetViews>
    <sheetView zoomScale="117" zoomScaleNormal="110" zoomScaleSheetLayoutView="100" workbookViewId="0">
      <pane xSplit="2" ySplit="4" topLeftCell="C5" activePane="bottomRight" state="frozen"/>
      <selection pane="topRight" activeCell="A40" sqref="A40:B40"/>
      <selection pane="bottomLeft" activeCell="A40" sqref="A40:B40"/>
      <selection pane="bottomRight" activeCell="G30" sqref="G30:I30"/>
    </sheetView>
  </sheetViews>
  <sheetFormatPr baseColWidth="10" defaultColWidth="21" defaultRowHeight="13"/>
  <cols>
    <col min="1" max="1" width="3.83203125" style="65" customWidth="1"/>
    <col min="2" max="2" width="84" style="62" customWidth="1"/>
    <col min="3" max="31" width="16.5" style="67" customWidth="1"/>
    <col min="32" max="32" width="44.5" style="62" customWidth="1"/>
    <col min="33" max="33" width="34.83203125" style="62" customWidth="1"/>
    <col min="34" max="270" width="21" style="62"/>
    <col min="271" max="271" width="2.5" style="62" customWidth="1"/>
    <col min="272" max="272" width="31" style="62" customWidth="1"/>
    <col min="273" max="273" width="11.1640625" style="62" customWidth="1"/>
    <col min="274" max="274" width="11" style="62" bestFit="1" customWidth="1"/>
    <col min="275" max="284" width="10" style="62" customWidth="1"/>
    <col min="285" max="285" width="44.5" style="62" customWidth="1"/>
    <col min="286" max="286" width="7.5" style="62" customWidth="1"/>
    <col min="287" max="526" width="21" style="62"/>
    <col min="527" max="527" width="2.5" style="62" customWidth="1"/>
    <col min="528" max="528" width="31" style="62" customWidth="1"/>
    <col min="529" max="529" width="11.1640625" style="62" customWidth="1"/>
    <col min="530" max="530" width="11" style="62" bestFit="1" customWidth="1"/>
    <col min="531" max="540" width="10" style="62" customWidth="1"/>
    <col min="541" max="541" width="44.5" style="62" customWidth="1"/>
    <col min="542" max="542" width="7.5" style="62" customWidth="1"/>
    <col min="543" max="782" width="21" style="62"/>
    <col min="783" max="783" width="2.5" style="62" customWidth="1"/>
    <col min="784" max="784" width="31" style="62" customWidth="1"/>
    <col min="785" max="785" width="11.1640625" style="62" customWidth="1"/>
    <col min="786" max="786" width="11" style="62" bestFit="1" customWidth="1"/>
    <col min="787" max="796" width="10" style="62" customWidth="1"/>
    <col min="797" max="797" width="44.5" style="62" customWidth="1"/>
    <col min="798" max="798" width="7.5" style="62" customWidth="1"/>
    <col min="799" max="1038" width="21" style="62"/>
    <col min="1039" max="1039" width="2.5" style="62" customWidth="1"/>
    <col min="1040" max="1040" width="31" style="62" customWidth="1"/>
    <col min="1041" max="1041" width="11.1640625" style="62" customWidth="1"/>
    <col min="1042" max="1042" width="11" style="62" bestFit="1" customWidth="1"/>
    <col min="1043" max="1052" width="10" style="62" customWidth="1"/>
    <col min="1053" max="1053" width="44.5" style="62" customWidth="1"/>
    <col min="1054" max="1054" width="7.5" style="62" customWidth="1"/>
    <col min="1055" max="1294" width="21" style="62"/>
    <col min="1295" max="1295" width="2.5" style="62" customWidth="1"/>
    <col min="1296" max="1296" width="31" style="62" customWidth="1"/>
    <col min="1297" max="1297" width="11.1640625" style="62" customWidth="1"/>
    <col min="1298" max="1298" width="11" style="62" bestFit="1" customWidth="1"/>
    <col min="1299" max="1308" width="10" style="62" customWidth="1"/>
    <col min="1309" max="1309" width="44.5" style="62" customWidth="1"/>
    <col min="1310" max="1310" width="7.5" style="62" customWidth="1"/>
    <col min="1311" max="1550" width="21" style="62"/>
    <col min="1551" max="1551" width="2.5" style="62" customWidth="1"/>
    <col min="1552" max="1552" width="31" style="62" customWidth="1"/>
    <col min="1553" max="1553" width="11.1640625" style="62" customWidth="1"/>
    <col min="1554" max="1554" width="11" style="62" bestFit="1" customWidth="1"/>
    <col min="1555" max="1564" width="10" style="62" customWidth="1"/>
    <col min="1565" max="1565" width="44.5" style="62" customWidth="1"/>
    <col min="1566" max="1566" width="7.5" style="62" customWidth="1"/>
    <col min="1567" max="1806" width="21" style="62"/>
    <col min="1807" max="1807" width="2.5" style="62" customWidth="1"/>
    <col min="1808" max="1808" width="31" style="62" customWidth="1"/>
    <col min="1809" max="1809" width="11.1640625" style="62" customWidth="1"/>
    <col min="1810" max="1810" width="11" style="62" bestFit="1" customWidth="1"/>
    <col min="1811" max="1820" width="10" style="62" customWidth="1"/>
    <col min="1821" max="1821" width="44.5" style="62" customWidth="1"/>
    <col min="1822" max="1822" width="7.5" style="62" customWidth="1"/>
    <col min="1823" max="2062" width="21" style="62"/>
    <col min="2063" max="2063" width="2.5" style="62" customWidth="1"/>
    <col min="2064" max="2064" width="31" style="62" customWidth="1"/>
    <col min="2065" max="2065" width="11.1640625" style="62" customWidth="1"/>
    <col min="2066" max="2066" width="11" style="62" bestFit="1" customWidth="1"/>
    <col min="2067" max="2076" width="10" style="62" customWidth="1"/>
    <col min="2077" max="2077" width="44.5" style="62" customWidth="1"/>
    <col min="2078" max="2078" width="7.5" style="62" customWidth="1"/>
    <col min="2079" max="2318" width="21" style="62"/>
    <col min="2319" max="2319" width="2.5" style="62" customWidth="1"/>
    <col min="2320" max="2320" width="31" style="62" customWidth="1"/>
    <col min="2321" max="2321" width="11.1640625" style="62" customWidth="1"/>
    <col min="2322" max="2322" width="11" style="62" bestFit="1" customWidth="1"/>
    <col min="2323" max="2332" width="10" style="62" customWidth="1"/>
    <col min="2333" max="2333" width="44.5" style="62" customWidth="1"/>
    <col min="2334" max="2334" width="7.5" style="62" customWidth="1"/>
    <col min="2335" max="2574" width="21" style="62"/>
    <col min="2575" max="2575" width="2.5" style="62" customWidth="1"/>
    <col min="2576" max="2576" width="31" style="62" customWidth="1"/>
    <col min="2577" max="2577" width="11.1640625" style="62" customWidth="1"/>
    <col min="2578" max="2578" width="11" style="62" bestFit="1" customWidth="1"/>
    <col min="2579" max="2588" width="10" style="62" customWidth="1"/>
    <col min="2589" max="2589" width="44.5" style="62" customWidth="1"/>
    <col min="2590" max="2590" width="7.5" style="62" customWidth="1"/>
    <col min="2591" max="2830" width="21" style="62"/>
    <col min="2831" max="2831" width="2.5" style="62" customWidth="1"/>
    <col min="2832" max="2832" width="31" style="62" customWidth="1"/>
    <col min="2833" max="2833" width="11.1640625" style="62" customWidth="1"/>
    <col min="2834" max="2834" width="11" style="62" bestFit="1" customWidth="1"/>
    <col min="2835" max="2844" width="10" style="62" customWidth="1"/>
    <col min="2845" max="2845" width="44.5" style="62" customWidth="1"/>
    <col min="2846" max="2846" width="7.5" style="62" customWidth="1"/>
    <col min="2847" max="3086" width="21" style="62"/>
    <col min="3087" max="3087" width="2.5" style="62" customWidth="1"/>
    <col min="3088" max="3088" width="31" style="62" customWidth="1"/>
    <col min="3089" max="3089" width="11.1640625" style="62" customWidth="1"/>
    <col min="3090" max="3090" width="11" style="62" bestFit="1" customWidth="1"/>
    <col min="3091" max="3100" width="10" style="62" customWidth="1"/>
    <col min="3101" max="3101" width="44.5" style="62" customWidth="1"/>
    <col min="3102" max="3102" width="7.5" style="62" customWidth="1"/>
    <col min="3103" max="3342" width="21" style="62"/>
    <col min="3343" max="3343" width="2.5" style="62" customWidth="1"/>
    <col min="3344" max="3344" width="31" style="62" customWidth="1"/>
    <col min="3345" max="3345" width="11.1640625" style="62" customWidth="1"/>
    <col min="3346" max="3346" width="11" style="62" bestFit="1" customWidth="1"/>
    <col min="3347" max="3356" width="10" style="62" customWidth="1"/>
    <col min="3357" max="3357" width="44.5" style="62" customWidth="1"/>
    <col min="3358" max="3358" width="7.5" style="62" customWidth="1"/>
    <col min="3359" max="3598" width="21" style="62"/>
    <col min="3599" max="3599" width="2.5" style="62" customWidth="1"/>
    <col min="3600" max="3600" width="31" style="62" customWidth="1"/>
    <col min="3601" max="3601" width="11.1640625" style="62" customWidth="1"/>
    <col min="3602" max="3602" width="11" style="62" bestFit="1" customWidth="1"/>
    <col min="3603" max="3612" width="10" style="62" customWidth="1"/>
    <col min="3613" max="3613" width="44.5" style="62" customWidth="1"/>
    <col min="3614" max="3614" width="7.5" style="62" customWidth="1"/>
    <col min="3615" max="3854" width="21" style="62"/>
    <col min="3855" max="3855" width="2.5" style="62" customWidth="1"/>
    <col min="3856" max="3856" width="31" style="62" customWidth="1"/>
    <col min="3857" max="3857" width="11.1640625" style="62" customWidth="1"/>
    <col min="3858" max="3858" width="11" style="62" bestFit="1" customWidth="1"/>
    <col min="3859" max="3868" width="10" style="62" customWidth="1"/>
    <col min="3869" max="3869" width="44.5" style="62" customWidth="1"/>
    <col min="3870" max="3870" width="7.5" style="62" customWidth="1"/>
    <col min="3871" max="4110" width="21" style="62"/>
    <col min="4111" max="4111" width="2.5" style="62" customWidth="1"/>
    <col min="4112" max="4112" width="31" style="62" customWidth="1"/>
    <col min="4113" max="4113" width="11.1640625" style="62" customWidth="1"/>
    <col min="4114" max="4114" width="11" style="62" bestFit="1" customWidth="1"/>
    <col min="4115" max="4124" width="10" style="62" customWidth="1"/>
    <col min="4125" max="4125" width="44.5" style="62" customWidth="1"/>
    <col min="4126" max="4126" width="7.5" style="62" customWidth="1"/>
    <col min="4127" max="4366" width="21" style="62"/>
    <col min="4367" max="4367" width="2.5" style="62" customWidth="1"/>
    <col min="4368" max="4368" width="31" style="62" customWidth="1"/>
    <col min="4369" max="4369" width="11.1640625" style="62" customWidth="1"/>
    <col min="4370" max="4370" width="11" style="62" bestFit="1" customWidth="1"/>
    <col min="4371" max="4380" width="10" style="62" customWidth="1"/>
    <col min="4381" max="4381" width="44.5" style="62" customWidth="1"/>
    <col min="4382" max="4382" width="7.5" style="62" customWidth="1"/>
    <col min="4383" max="4622" width="21" style="62"/>
    <col min="4623" max="4623" width="2.5" style="62" customWidth="1"/>
    <col min="4624" max="4624" width="31" style="62" customWidth="1"/>
    <col min="4625" max="4625" width="11.1640625" style="62" customWidth="1"/>
    <col min="4626" max="4626" width="11" style="62" bestFit="1" customWidth="1"/>
    <col min="4627" max="4636" width="10" style="62" customWidth="1"/>
    <col min="4637" max="4637" width="44.5" style="62" customWidth="1"/>
    <col min="4638" max="4638" width="7.5" style="62" customWidth="1"/>
    <col min="4639" max="4878" width="21" style="62"/>
    <col min="4879" max="4879" width="2.5" style="62" customWidth="1"/>
    <col min="4880" max="4880" width="31" style="62" customWidth="1"/>
    <col min="4881" max="4881" width="11.1640625" style="62" customWidth="1"/>
    <col min="4882" max="4882" width="11" style="62" bestFit="1" customWidth="1"/>
    <col min="4883" max="4892" width="10" style="62" customWidth="1"/>
    <col min="4893" max="4893" width="44.5" style="62" customWidth="1"/>
    <col min="4894" max="4894" width="7.5" style="62" customWidth="1"/>
    <col min="4895" max="5134" width="21" style="62"/>
    <col min="5135" max="5135" width="2.5" style="62" customWidth="1"/>
    <col min="5136" max="5136" width="31" style="62" customWidth="1"/>
    <col min="5137" max="5137" width="11.1640625" style="62" customWidth="1"/>
    <col min="5138" max="5138" width="11" style="62" bestFit="1" customWidth="1"/>
    <col min="5139" max="5148" width="10" style="62" customWidth="1"/>
    <col min="5149" max="5149" width="44.5" style="62" customWidth="1"/>
    <col min="5150" max="5150" width="7.5" style="62" customWidth="1"/>
    <col min="5151" max="5390" width="21" style="62"/>
    <col min="5391" max="5391" width="2.5" style="62" customWidth="1"/>
    <col min="5392" max="5392" width="31" style="62" customWidth="1"/>
    <col min="5393" max="5393" width="11.1640625" style="62" customWidth="1"/>
    <col min="5394" max="5394" width="11" style="62" bestFit="1" customWidth="1"/>
    <col min="5395" max="5404" width="10" style="62" customWidth="1"/>
    <col min="5405" max="5405" width="44.5" style="62" customWidth="1"/>
    <col min="5406" max="5406" width="7.5" style="62" customWidth="1"/>
    <col min="5407" max="5646" width="21" style="62"/>
    <col min="5647" max="5647" width="2.5" style="62" customWidth="1"/>
    <col min="5648" max="5648" width="31" style="62" customWidth="1"/>
    <col min="5649" max="5649" width="11.1640625" style="62" customWidth="1"/>
    <col min="5650" max="5650" width="11" style="62" bestFit="1" customWidth="1"/>
    <col min="5651" max="5660" width="10" style="62" customWidth="1"/>
    <col min="5661" max="5661" width="44.5" style="62" customWidth="1"/>
    <col min="5662" max="5662" width="7.5" style="62" customWidth="1"/>
    <col min="5663" max="5902" width="21" style="62"/>
    <col min="5903" max="5903" width="2.5" style="62" customWidth="1"/>
    <col min="5904" max="5904" width="31" style="62" customWidth="1"/>
    <col min="5905" max="5905" width="11.1640625" style="62" customWidth="1"/>
    <col min="5906" max="5906" width="11" style="62" bestFit="1" customWidth="1"/>
    <col min="5907" max="5916" width="10" style="62" customWidth="1"/>
    <col min="5917" max="5917" width="44.5" style="62" customWidth="1"/>
    <col min="5918" max="5918" width="7.5" style="62" customWidth="1"/>
    <col min="5919" max="6158" width="21" style="62"/>
    <col min="6159" max="6159" width="2.5" style="62" customWidth="1"/>
    <col min="6160" max="6160" width="31" style="62" customWidth="1"/>
    <col min="6161" max="6161" width="11.1640625" style="62" customWidth="1"/>
    <col min="6162" max="6162" width="11" style="62" bestFit="1" customWidth="1"/>
    <col min="6163" max="6172" width="10" style="62" customWidth="1"/>
    <col min="6173" max="6173" width="44.5" style="62" customWidth="1"/>
    <col min="6174" max="6174" width="7.5" style="62" customWidth="1"/>
    <col min="6175" max="6414" width="21" style="62"/>
    <col min="6415" max="6415" width="2.5" style="62" customWidth="1"/>
    <col min="6416" max="6416" width="31" style="62" customWidth="1"/>
    <col min="6417" max="6417" width="11.1640625" style="62" customWidth="1"/>
    <col min="6418" max="6418" width="11" style="62" bestFit="1" customWidth="1"/>
    <col min="6419" max="6428" width="10" style="62" customWidth="1"/>
    <col min="6429" max="6429" width="44.5" style="62" customWidth="1"/>
    <col min="6430" max="6430" width="7.5" style="62" customWidth="1"/>
    <col min="6431" max="6670" width="21" style="62"/>
    <col min="6671" max="6671" width="2.5" style="62" customWidth="1"/>
    <col min="6672" max="6672" width="31" style="62" customWidth="1"/>
    <col min="6673" max="6673" width="11.1640625" style="62" customWidth="1"/>
    <col min="6674" max="6674" width="11" style="62" bestFit="1" customWidth="1"/>
    <col min="6675" max="6684" width="10" style="62" customWidth="1"/>
    <col min="6685" max="6685" width="44.5" style="62" customWidth="1"/>
    <col min="6686" max="6686" width="7.5" style="62" customWidth="1"/>
    <col min="6687" max="6926" width="21" style="62"/>
    <col min="6927" max="6927" width="2.5" style="62" customWidth="1"/>
    <col min="6928" max="6928" width="31" style="62" customWidth="1"/>
    <col min="6929" max="6929" width="11.1640625" style="62" customWidth="1"/>
    <col min="6930" max="6930" width="11" style="62" bestFit="1" customWidth="1"/>
    <col min="6931" max="6940" width="10" style="62" customWidth="1"/>
    <col min="6941" max="6941" width="44.5" style="62" customWidth="1"/>
    <col min="6942" max="6942" width="7.5" style="62" customWidth="1"/>
    <col min="6943" max="7182" width="21" style="62"/>
    <col min="7183" max="7183" width="2.5" style="62" customWidth="1"/>
    <col min="7184" max="7184" width="31" style="62" customWidth="1"/>
    <col min="7185" max="7185" width="11.1640625" style="62" customWidth="1"/>
    <col min="7186" max="7186" width="11" style="62" bestFit="1" customWidth="1"/>
    <col min="7187" max="7196" width="10" style="62" customWidth="1"/>
    <col min="7197" max="7197" width="44.5" style="62" customWidth="1"/>
    <col min="7198" max="7198" width="7.5" style="62" customWidth="1"/>
    <col min="7199" max="7438" width="21" style="62"/>
    <col min="7439" max="7439" width="2.5" style="62" customWidth="1"/>
    <col min="7440" max="7440" width="31" style="62" customWidth="1"/>
    <col min="7441" max="7441" width="11.1640625" style="62" customWidth="1"/>
    <col min="7442" max="7442" width="11" style="62" bestFit="1" customWidth="1"/>
    <col min="7443" max="7452" width="10" style="62" customWidth="1"/>
    <col min="7453" max="7453" width="44.5" style="62" customWidth="1"/>
    <col min="7454" max="7454" width="7.5" style="62" customWidth="1"/>
    <col min="7455" max="7694" width="21" style="62"/>
    <col min="7695" max="7695" width="2.5" style="62" customWidth="1"/>
    <col min="7696" max="7696" width="31" style="62" customWidth="1"/>
    <col min="7697" max="7697" width="11.1640625" style="62" customWidth="1"/>
    <col min="7698" max="7698" width="11" style="62" bestFit="1" customWidth="1"/>
    <col min="7699" max="7708" width="10" style="62" customWidth="1"/>
    <col min="7709" max="7709" width="44.5" style="62" customWidth="1"/>
    <col min="7710" max="7710" width="7.5" style="62" customWidth="1"/>
    <col min="7711" max="7950" width="21" style="62"/>
    <col min="7951" max="7951" width="2.5" style="62" customWidth="1"/>
    <col min="7952" max="7952" width="31" style="62" customWidth="1"/>
    <col min="7953" max="7953" width="11.1640625" style="62" customWidth="1"/>
    <col min="7954" max="7954" width="11" style="62" bestFit="1" customWidth="1"/>
    <col min="7955" max="7964" width="10" style="62" customWidth="1"/>
    <col min="7965" max="7965" width="44.5" style="62" customWidth="1"/>
    <col min="7966" max="7966" width="7.5" style="62" customWidth="1"/>
    <col min="7967" max="8206" width="21" style="62"/>
    <col min="8207" max="8207" width="2.5" style="62" customWidth="1"/>
    <col min="8208" max="8208" width="31" style="62" customWidth="1"/>
    <col min="8209" max="8209" width="11.1640625" style="62" customWidth="1"/>
    <col min="8210" max="8210" width="11" style="62" bestFit="1" customWidth="1"/>
    <col min="8211" max="8220" width="10" style="62" customWidth="1"/>
    <col min="8221" max="8221" width="44.5" style="62" customWidth="1"/>
    <col min="8222" max="8222" width="7.5" style="62" customWidth="1"/>
    <col min="8223" max="8462" width="21" style="62"/>
    <col min="8463" max="8463" width="2.5" style="62" customWidth="1"/>
    <col min="8464" max="8464" width="31" style="62" customWidth="1"/>
    <col min="8465" max="8465" width="11.1640625" style="62" customWidth="1"/>
    <col min="8466" max="8466" width="11" style="62" bestFit="1" customWidth="1"/>
    <col min="8467" max="8476" width="10" style="62" customWidth="1"/>
    <col min="8477" max="8477" width="44.5" style="62" customWidth="1"/>
    <col min="8478" max="8478" width="7.5" style="62" customWidth="1"/>
    <col min="8479" max="8718" width="21" style="62"/>
    <col min="8719" max="8719" width="2.5" style="62" customWidth="1"/>
    <col min="8720" max="8720" width="31" style="62" customWidth="1"/>
    <col min="8721" max="8721" width="11.1640625" style="62" customWidth="1"/>
    <col min="8722" max="8722" width="11" style="62" bestFit="1" customWidth="1"/>
    <col min="8723" max="8732" width="10" style="62" customWidth="1"/>
    <col min="8733" max="8733" width="44.5" style="62" customWidth="1"/>
    <col min="8734" max="8734" width="7.5" style="62" customWidth="1"/>
    <col min="8735" max="8974" width="21" style="62"/>
    <col min="8975" max="8975" width="2.5" style="62" customWidth="1"/>
    <col min="8976" max="8976" width="31" style="62" customWidth="1"/>
    <col min="8977" max="8977" width="11.1640625" style="62" customWidth="1"/>
    <col min="8978" max="8978" width="11" style="62" bestFit="1" customWidth="1"/>
    <col min="8979" max="8988" width="10" style="62" customWidth="1"/>
    <col min="8989" max="8989" width="44.5" style="62" customWidth="1"/>
    <col min="8990" max="8990" width="7.5" style="62" customWidth="1"/>
    <col min="8991" max="9230" width="21" style="62"/>
    <col min="9231" max="9231" width="2.5" style="62" customWidth="1"/>
    <col min="9232" max="9232" width="31" style="62" customWidth="1"/>
    <col min="9233" max="9233" width="11.1640625" style="62" customWidth="1"/>
    <col min="9234" max="9234" width="11" style="62" bestFit="1" customWidth="1"/>
    <col min="9235" max="9244" width="10" style="62" customWidth="1"/>
    <col min="9245" max="9245" width="44.5" style="62" customWidth="1"/>
    <col min="9246" max="9246" width="7.5" style="62" customWidth="1"/>
    <col min="9247" max="9486" width="21" style="62"/>
    <col min="9487" max="9487" width="2.5" style="62" customWidth="1"/>
    <col min="9488" max="9488" width="31" style="62" customWidth="1"/>
    <col min="9489" max="9489" width="11.1640625" style="62" customWidth="1"/>
    <col min="9490" max="9490" width="11" style="62" bestFit="1" customWidth="1"/>
    <col min="9491" max="9500" width="10" style="62" customWidth="1"/>
    <col min="9501" max="9501" width="44.5" style="62" customWidth="1"/>
    <col min="9502" max="9502" width="7.5" style="62" customWidth="1"/>
    <col min="9503" max="9742" width="21" style="62"/>
    <col min="9743" max="9743" width="2.5" style="62" customWidth="1"/>
    <col min="9744" max="9744" width="31" style="62" customWidth="1"/>
    <col min="9745" max="9745" width="11.1640625" style="62" customWidth="1"/>
    <col min="9746" max="9746" width="11" style="62" bestFit="1" customWidth="1"/>
    <col min="9747" max="9756" width="10" style="62" customWidth="1"/>
    <col min="9757" max="9757" width="44.5" style="62" customWidth="1"/>
    <col min="9758" max="9758" width="7.5" style="62" customWidth="1"/>
    <col min="9759" max="9998" width="21" style="62"/>
    <col min="9999" max="9999" width="2.5" style="62" customWidth="1"/>
    <col min="10000" max="10000" width="31" style="62" customWidth="1"/>
    <col min="10001" max="10001" width="11.1640625" style="62" customWidth="1"/>
    <col min="10002" max="10002" width="11" style="62" bestFit="1" customWidth="1"/>
    <col min="10003" max="10012" width="10" style="62" customWidth="1"/>
    <col min="10013" max="10013" width="44.5" style="62" customWidth="1"/>
    <col min="10014" max="10014" width="7.5" style="62" customWidth="1"/>
    <col min="10015" max="10254" width="21" style="62"/>
    <col min="10255" max="10255" width="2.5" style="62" customWidth="1"/>
    <col min="10256" max="10256" width="31" style="62" customWidth="1"/>
    <col min="10257" max="10257" width="11.1640625" style="62" customWidth="1"/>
    <col min="10258" max="10258" width="11" style="62" bestFit="1" customWidth="1"/>
    <col min="10259" max="10268" width="10" style="62" customWidth="1"/>
    <col min="10269" max="10269" width="44.5" style="62" customWidth="1"/>
    <col min="10270" max="10270" width="7.5" style="62" customWidth="1"/>
    <col min="10271" max="10510" width="21" style="62"/>
    <col min="10511" max="10511" width="2.5" style="62" customWidth="1"/>
    <col min="10512" max="10512" width="31" style="62" customWidth="1"/>
    <col min="10513" max="10513" width="11.1640625" style="62" customWidth="1"/>
    <col min="10514" max="10514" width="11" style="62" bestFit="1" customWidth="1"/>
    <col min="10515" max="10524" width="10" style="62" customWidth="1"/>
    <col min="10525" max="10525" width="44.5" style="62" customWidth="1"/>
    <col min="10526" max="10526" width="7.5" style="62" customWidth="1"/>
    <col min="10527" max="10766" width="21" style="62"/>
    <col min="10767" max="10767" width="2.5" style="62" customWidth="1"/>
    <col min="10768" max="10768" width="31" style="62" customWidth="1"/>
    <col min="10769" max="10769" width="11.1640625" style="62" customWidth="1"/>
    <col min="10770" max="10770" width="11" style="62" bestFit="1" customWidth="1"/>
    <col min="10771" max="10780" width="10" style="62" customWidth="1"/>
    <col min="10781" max="10781" width="44.5" style="62" customWidth="1"/>
    <col min="10782" max="10782" width="7.5" style="62" customWidth="1"/>
    <col min="10783" max="11022" width="21" style="62"/>
    <col min="11023" max="11023" width="2.5" style="62" customWidth="1"/>
    <col min="11024" max="11024" width="31" style="62" customWidth="1"/>
    <col min="11025" max="11025" width="11.1640625" style="62" customWidth="1"/>
    <col min="11026" max="11026" width="11" style="62" bestFit="1" customWidth="1"/>
    <col min="11027" max="11036" width="10" style="62" customWidth="1"/>
    <col min="11037" max="11037" width="44.5" style="62" customWidth="1"/>
    <col min="11038" max="11038" width="7.5" style="62" customWidth="1"/>
    <col min="11039" max="11278" width="21" style="62"/>
    <col min="11279" max="11279" width="2.5" style="62" customWidth="1"/>
    <col min="11280" max="11280" width="31" style="62" customWidth="1"/>
    <col min="11281" max="11281" width="11.1640625" style="62" customWidth="1"/>
    <col min="11282" max="11282" width="11" style="62" bestFit="1" customWidth="1"/>
    <col min="11283" max="11292" width="10" style="62" customWidth="1"/>
    <col min="11293" max="11293" width="44.5" style="62" customWidth="1"/>
    <col min="11294" max="11294" width="7.5" style="62" customWidth="1"/>
    <col min="11295" max="11534" width="21" style="62"/>
    <col min="11535" max="11535" width="2.5" style="62" customWidth="1"/>
    <col min="11536" max="11536" width="31" style="62" customWidth="1"/>
    <col min="11537" max="11537" width="11.1640625" style="62" customWidth="1"/>
    <col min="11538" max="11538" width="11" style="62" bestFit="1" customWidth="1"/>
    <col min="11539" max="11548" width="10" style="62" customWidth="1"/>
    <col min="11549" max="11549" width="44.5" style="62" customWidth="1"/>
    <col min="11550" max="11550" width="7.5" style="62" customWidth="1"/>
    <col min="11551" max="11790" width="21" style="62"/>
    <col min="11791" max="11791" width="2.5" style="62" customWidth="1"/>
    <col min="11792" max="11792" width="31" style="62" customWidth="1"/>
    <col min="11793" max="11793" width="11.1640625" style="62" customWidth="1"/>
    <col min="11794" max="11794" width="11" style="62" bestFit="1" customWidth="1"/>
    <col min="11795" max="11804" width="10" style="62" customWidth="1"/>
    <col min="11805" max="11805" width="44.5" style="62" customWidth="1"/>
    <col min="11806" max="11806" width="7.5" style="62" customWidth="1"/>
    <col min="11807" max="12046" width="21" style="62"/>
    <col min="12047" max="12047" width="2.5" style="62" customWidth="1"/>
    <col min="12048" max="12048" width="31" style="62" customWidth="1"/>
    <col min="12049" max="12049" width="11.1640625" style="62" customWidth="1"/>
    <col min="12050" max="12050" width="11" style="62" bestFit="1" customWidth="1"/>
    <col min="12051" max="12060" width="10" style="62" customWidth="1"/>
    <col min="12061" max="12061" width="44.5" style="62" customWidth="1"/>
    <col min="12062" max="12062" width="7.5" style="62" customWidth="1"/>
    <col min="12063" max="12302" width="21" style="62"/>
    <col min="12303" max="12303" width="2.5" style="62" customWidth="1"/>
    <col min="12304" max="12304" width="31" style="62" customWidth="1"/>
    <col min="12305" max="12305" width="11.1640625" style="62" customWidth="1"/>
    <col min="12306" max="12306" width="11" style="62" bestFit="1" customWidth="1"/>
    <col min="12307" max="12316" width="10" style="62" customWidth="1"/>
    <col min="12317" max="12317" width="44.5" style="62" customWidth="1"/>
    <col min="12318" max="12318" width="7.5" style="62" customWidth="1"/>
    <col min="12319" max="12558" width="21" style="62"/>
    <col min="12559" max="12559" width="2.5" style="62" customWidth="1"/>
    <col min="12560" max="12560" width="31" style="62" customWidth="1"/>
    <col min="12561" max="12561" width="11.1640625" style="62" customWidth="1"/>
    <col min="12562" max="12562" width="11" style="62" bestFit="1" customWidth="1"/>
    <col min="12563" max="12572" width="10" style="62" customWidth="1"/>
    <col min="12573" max="12573" width="44.5" style="62" customWidth="1"/>
    <col min="12574" max="12574" width="7.5" style="62" customWidth="1"/>
    <col min="12575" max="12814" width="21" style="62"/>
    <col min="12815" max="12815" width="2.5" style="62" customWidth="1"/>
    <col min="12816" max="12816" width="31" style="62" customWidth="1"/>
    <col min="12817" max="12817" width="11.1640625" style="62" customWidth="1"/>
    <col min="12818" max="12818" width="11" style="62" bestFit="1" customWidth="1"/>
    <col min="12819" max="12828" width="10" style="62" customWidth="1"/>
    <col min="12829" max="12829" width="44.5" style="62" customWidth="1"/>
    <col min="12830" max="12830" width="7.5" style="62" customWidth="1"/>
    <col min="12831" max="13070" width="21" style="62"/>
    <col min="13071" max="13071" width="2.5" style="62" customWidth="1"/>
    <col min="13072" max="13072" width="31" style="62" customWidth="1"/>
    <col min="13073" max="13073" width="11.1640625" style="62" customWidth="1"/>
    <col min="13074" max="13074" width="11" style="62" bestFit="1" customWidth="1"/>
    <col min="13075" max="13084" width="10" style="62" customWidth="1"/>
    <col min="13085" max="13085" width="44.5" style="62" customWidth="1"/>
    <col min="13086" max="13086" width="7.5" style="62" customWidth="1"/>
    <col min="13087" max="13326" width="21" style="62"/>
    <col min="13327" max="13327" width="2.5" style="62" customWidth="1"/>
    <col min="13328" max="13328" width="31" style="62" customWidth="1"/>
    <col min="13329" max="13329" width="11.1640625" style="62" customWidth="1"/>
    <col min="13330" max="13330" width="11" style="62" bestFit="1" customWidth="1"/>
    <col min="13331" max="13340" width="10" style="62" customWidth="1"/>
    <col min="13341" max="13341" width="44.5" style="62" customWidth="1"/>
    <col min="13342" max="13342" width="7.5" style="62" customWidth="1"/>
    <col min="13343" max="13582" width="21" style="62"/>
    <col min="13583" max="13583" width="2.5" style="62" customWidth="1"/>
    <col min="13584" max="13584" width="31" style="62" customWidth="1"/>
    <col min="13585" max="13585" width="11.1640625" style="62" customWidth="1"/>
    <col min="13586" max="13586" width="11" style="62" bestFit="1" customWidth="1"/>
    <col min="13587" max="13596" width="10" style="62" customWidth="1"/>
    <col min="13597" max="13597" width="44.5" style="62" customWidth="1"/>
    <col min="13598" max="13598" width="7.5" style="62" customWidth="1"/>
    <col min="13599" max="13838" width="21" style="62"/>
    <col min="13839" max="13839" width="2.5" style="62" customWidth="1"/>
    <col min="13840" max="13840" width="31" style="62" customWidth="1"/>
    <col min="13841" max="13841" width="11.1640625" style="62" customWidth="1"/>
    <col min="13842" max="13842" width="11" style="62" bestFit="1" customWidth="1"/>
    <col min="13843" max="13852" width="10" style="62" customWidth="1"/>
    <col min="13853" max="13853" width="44.5" style="62" customWidth="1"/>
    <col min="13854" max="13854" width="7.5" style="62" customWidth="1"/>
    <col min="13855" max="14094" width="21" style="62"/>
    <col min="14095" max="14095" width="2.5" style="62" customWidth="1"/>
    <col min="14096" max="14096" width="31" style="62" customWidth="1"/>
    <col min="14097" max="14097" width="11.1640625" style="62" customWidth="1"/>
    <col min="14098" max="14098" width="11" style="62" bestFit="1" customWidth="1"/>
    <col min="14099" max="14108" width="10" style="62" customWidth="1"/>
    <col min="14109" max="14109" width="44.5" style="62" customWidth="1"/>
    <col min="14110" max="14110" width="7.5" style="62" customWidth="1"/>
    <col min="14111" max="14350" width="21" style="62"/>
    <col min="14351" max="14351" width="2.5" style="62" customWidth="1"/>
    <col min="14352" max="14352" width="31" style="62" customWidth="1"/>
    <col min="14353" max="14353" width="11.1640625" style="62" customWidth="1"/>
    <col min="14354" max="14354" width="11" style="62" bestFit="1" customWidth="1"/>
    <col min="14355" max="14364" width="10" style="62" customWidth="1"/>
    <col min="14365" max="14365" width="44.5" style="62" customWidth="1"/>
    <col min="14366" max="14366" width="7.5" style="62" customWidth="1"/>
    <col min="14367" max="14606" width="21" style="62"/>
    <col min="14607" max="14607" width="2.5" style="62" customWidth="1"/>
    <col min="14608" max="14608" width="31" style="62" customWidth="1"/>
    <col min="14609" max="14609" width="11.1640625" style="62" customWidth="1"/>
    <col min="14610" max="14610" width="11" style="62" bestFit="1" customWidth="1"/>
    <col min="14611" max="14620" width="10" style="62" customWidth="1"/>
    <col min="14621" max="14621" width="44.5" style="62" customWidth="1"/>
    <col min="14622" max="14622" width="7.5" style="62" customWidth="1"/>
    <col min="14623" max="14862" width="21" style="62"/>
    <col min="14863" max="14863" width="2.5" style="62" customWidth="1"/>
    <col min="14864" max="14864" width="31" style="62" customWidth="1"/>
    <col min="14865" max="14865" width="11.1640625" style="62" customWidth="1"/>
    <col min="14866" max="14866" width="11" style="62" bestFit="1" customWidth="1"/>
    <col min="14867" max="14876" width="10" style="62" customWidth="1"/>
    <col min="14877" max="14877" width="44.5" style="62" customWidth="1"/>
    <col min="14878" max="14878" width="7.5" style="62" customWidth="1"/>
    <col min="14879" max="15118" width="21" style="62"/>
    <col min="15119" max="15119" width="2.5" style="62" customWidth="1"/>
    <col min="15120" max="15120" width="31" style="62" customWidth="1"/>
    <col min="15121" max="15121" width="11.1640625" style="62" customWidth="1"/>
    <col min="15122" max="15122" width="11" style="62" bestFit="1" customWidth="1"/>
    <col min="15123" max="15132" width="10" style="62" customWidth="1"/>
    <col min="15133" max="15133" width="44.5" style="62" customWidth="1"/>
    <col min="15134" max="15134" width="7.5" style="62" customWidth="1"/>
    <col min="15135" max="15374" width="21" style="62"/>
    <col min="15375" max="15375" width="2.5" style="62" customWidth="1"/>
    <col min="15376" max="15376" width="31" style="62" customWidth="1"/>
    <col min="15377" max="15377" width="11.1640625" style="62" customWidth="1"/>
    <col min="15378" max="15378" width="11" style="62" bestFit="1" customWidth="1"/>
    <col min="15379" max="15388" width="10" style="62" customWidth="1"/>
    <col min="15389" max="15389" width="44.5" style="62" customWidth="1"/>
    <col min="15390" max="15390" width="7.5" style="62" customWidth="1"/>
    <col min="15391" max="15630" width="21" style="62"/>
    <col min="15631" max="15631" width="2.5" style="62" customWidth="1"/>
    <col min="15632" max="15632" width="31" style="62" customWidth="1"/>
    <col min="15633" max="15633" width="11.1640625" style="62" customWidth="1"/>
    <col min="15634" max="15634" width="11" style="62" bestFit="1" customWidth="1"/>
    <col min="15635" max="15644" width="10" style="62" customWidth="1"/>
    <col min="15645" max="15645" width="44.5" style="62" customWidth="1"/>
    <col min="15646" max="15646" width="7.5" style="62" customWidth="1"/>
    <col min="15647" max="15886" width="21" style="62"/>
    <col min="15887" max="15887" width="2.5" style="62" customWidth="1"/>
    <col min="15888" max="15888" width="31" style="62" customWidth="1"/>
    <col min="15889" max="15889" width="11.1640625" style="62" customWidth="1"/>
    <col min="15890" max="15890" width="11" style="62" bestFit="1" customWidth="1"/>
    <col min="15891" max="15900" width="10" style="62" customWidth="1"/>
    <col min="15901" max="15901" width="44.5" style="62" customWidth="1"/>
    <col min="15902" max="15902" width="7.5" style="62" customWidth="1"/>
    <col min="15903" max="16142" width="21" style="62"/>
    <col min="16143" max="16143" width="2.5" style="62" customWidth="1"/>
    <col min="16144" max="16144" width="31" style="62" customWidth="1"/>
    <col min="16145" max="16145" width="11.1640625" style="62" customWidth="1"/>
    <col min="16146" max="16146" width="11" style="62" bestFit="1" customWidth="1"/>
    <col min="16147" max="16156" width="10" style="62" customWidth="1"/>
    <col min="16157" max="16157" width="44.5" style="62" customWidth="1"/>
    <col min="16158" max="16158" width="7.5" style="62" customWidth="1"/>
    <col min="16159" max="16384" width="21" style="62"/>
  </cols>
  <sheetData>
    <row r="1" spans="1:69" s="100" customFormat="1" ht="27" customHeight="1" thickBot="1">
      <c r="A1" s="65"/>
      <c r="B1" s="62"/>
      <c r="C1" s="67"/>
      <c r="D1" s="67"/>
      <c r="E1" s="67"/>
      <c r="F1" s="67"/>
      <c r="G1" s="67"/>
      <c r="H1" s="67"/>
      <c r="I1" s="67"/>
      <c r="J1" s="67"/>
      <c r="K1" s="67"/>
      <c r="L1" s="67"/>
      <c r="M1" s="67"/>
      <c r="N1" s="67"/>
      <c r="O1" s="67"/>
      <c r="P1" s="67"/>
      <c r="Q1" s="67"/>
      <c r="R1" s="67"/>
      <c r="S1" s="67"/>
      <c r="T1" s="67"/>
      <c r="U1" s="67"/>
      <c r="V1" s="67"/>
      <c r="W1" s="67"/>
      <c r="X1" s="67"/>
      <c r="Y1" s="67"/>
      <c r="Z1" s="67"/>
      <c r="AA1" s="67"/>
      <c r="AB1" s="67"/>
      <c r="AC1" s="67"/>
      <c r="AD1" s="326"/>
      <c r="AE1" s="326"/>
      <c r="AF1" s="1285"/>
      <c r="AG1" s="1285"/>
      <c r="AH1" s="1285"/>
      <c r="AI1" s="1285"/>
      <c r="AJ1" s="1285"/>
      <c r="AK1" s="1285"/>
      <c r="AL1" s="1285"/>
      <c r="AM1" s="1285"/>
      <c r="AN1" s="1285"/>
      <c r="AO1" s="1285"/>
      <c r="AP1" s="1285"/>
      <c r="AQ1" s="1285"/>
      <c r="AR1" s="1285"/>
      <c r="AS1" s="1285"/>
      <c r="AT1" s="1285"/>
      <c r="AU1" s="1285"/>
      <c r="AV1" s="1285"/>
      <c r="AW1" s="1285"/>
      <c r="AX1" s="1285"/>
      <c r="AY1" s="1285"/>
      <c r="AZ1" s="1285"/>
      <c r="BA1" s="1285"/>
      <c r="BB1" s="1285"/>
      <c r="BC1" s="1285"/>
      <c r="BD1" s="1285"/>
      <c r="BE1" s="1285"/>
      <c r="BF1" s="1285"/>
      <c r="BG1" s="1285"/>
      <c r="BH1" s="1285"/>
      <c r="BI1" s="1285"/>
      <c r="BJ1" s="1285"/>
      <c r="BK1" s="1285"/>
      <c r="BL1" s="1285"/>
      <c r="BM1" s="1285"/>
      <c r="BN1" s="1285"/>
      <c r="BO1" s="1285"/>
      <c r="BP1" s="1285"/>
      <c r="BQ1" s="1285"/>
    </row>
    <row r="2" spans="1:69" s="75" customFormat="1" ht="39.75" customHeight="1" thickBot="1">
      <c r="A2" s="3003" t="s">
        <v>429</v>
      </c>
      <c r="B2" s="3004"/>
      <c r="C2" s="2976" t="s">
        <v>430</v>
      </c>
      <c r="D2" s="2977"/>
      <c r="E2" s="2977"/>
      <c r="F2" s="2977"/>
      <c r="G2" s="2977"/>
      <c r="H2" s="2977"/>
      <c r="I2" s="2977"/>
      <c r="J2" s="2977"/>
      <c r="K2" s="2977"/>
      <c r="L2" s="2977"/>
      <c r="M2" s="2977"/>
      <c r="N2" s="2977"/>
      <c r="O2" s="2977"/>
      <c r="P2" s="2977"/>
      <c r="Q2" s="2977"/>
      <c r="R2" s="2977"/>
      <c r="S2" s="2977"/>
      <c r="T2" s="2977"/>
      <c r="U2" s="2977"/>
      <c r="V2" s="2977"/>
      <c r="W2" s="2977"/>
      <c r="X2" s="2977"/>
      <c r="Y2" s="2977"/>
      <c r="Z2" s="2977"/>
      <c r="AA2" s="2977"/>
      <c r="AB2" s="2977"/>
      <c r="AC2" s="2977"/>
      <c r="AD2" s="2977"/>
      <c r="AE2" s="2978"/>
    </row>
    <row r="3" spans="1:69" s="75" customFormat="1" ht="39.75" customHeight="1" thickBot="1">
      <c r="A3" s="2697"/>
      <c r="B3" s="2698"/>
      <c r="C3" s="2972" t="s">
        <v>1557</v>
      </c>
      <c r="D3" s="2973"/>
      <c r="E3" s="2972" t="s">
        <v>1558</v>
      </c>
      <c r="F3" s="2973"/>
      <c r="G3" s="2974" t="s">
        <v>1559</v>
      </c>
      <c r="H3" s="2975"/>
      <c r="I3" s="2975"/>
      <c r="J3" s="2975"/>
      <c r="K3" s="2975"/>
      <c r="L3" s="2975"/>
      <c r="M3" s="2975"/>
      <c r="N3" s="2975"/>
      <c r="O3" s="2975"/>
      <c r="P3" s="2975"/>
      <c r="Q3" s="2975"/>
      <c r="R3" s="2975"/>
      <c r="S3" s="2975"/>
      <c r="T3" s="2975"/>
      <c r="U3" s="2975"/>
      <c r="V3" s="2975"/>
      <c r="W3" s="2975"/>
      <c r="X3" s="2975"/>
      <c r="Y3" s="2975"/>
      <c r="Z3" s="2975"/>
      <c r="AA3" s="2975"/>
      <c r="AB3" s="2975"/>
      <c r="AC3" s="2975"/>
      <c r="AD3" s="867"/>
      <c r="AE3" s="2699"/>
    </row>
    <row r="4" spans="1:69" s="519" customFormat="1" ht="54.75" customHeight="1" thickBot="1">
      <c r="A4" s="3008" t="s">
        <v>431</v>
      </c>
      <c r="B4" s="3009"/>
      <c r="C4" s="2371" t="s">
        <v>1468</v>
      </c>
      <c r="D4" s="2378" t="s">
        <v>1468</v>
      </c>
      <c r="E4" s="2371" t="s">
        <v>1469</v>
      </c>
      <c r="F4" s="2373" t="s">
        <v>1469</v>
      </c>
      <c r="G4" s="2452" t="s">
        <v>432</v>
      </c>
      <c r="H4" s="2372" t="s">
        <v>432</v>
      </c>
      <c r="I4" s="2372" t="s">
        <v>432</v>
      </c>
      <c r="J4" s="2372" t="s">
        <v>432</v>
      </c>
      <c r="K4" s="2372" t="s">
        <v>432</v>
      </c>
      <c r="L4" s="2372" t="s">
        <v>432</v>
      </c>
      <c r="M4" s="2372" t="s">
        <v>432</v>
      </c>
      <c r="N4" s="2372" t="s">
        <v>432</v>
      </c>
      <c r="O4" s="2372" t="s">
        <v>432</v>
      </c>
      <c r="P4" s="2372" t="s">
        <v>432</v>
      </c>
      <c r="Q4" s="2372" t="s">
        <v>432</v>
      </c>
      <c r="R4" s="2372" t="s">
        <v>432</v>
      </c>
      <c r="S4" s="2372" t="s">
        <v>432</v>
      </c>
      <c r="T4" s="2372" t="s">
        <v>432</v>
      </c>
      <c r="U4" s="2372" t="s">
        <v>432</v>
      </c>
      <c r="V4" s="2372" t="s">
        <v>432</v>
      </c>
      <c r="W4" s="2372" t="s">
        <v>432</v>
      </c>
      <c r="X4" s="2372" t="s">
        <v>432</v>
      </c>
      <c r="Y4" s="2372" t="s">
        <v>432</v>
      </c>
      <c r="Z4" s="2372" t="s">
        <v>432</v>
      </c>
      <c r="AA4" s="2372" t="s">
        <v>432</v>
      </c>
      <c r="AB4" s="2372" t="s">
        <v>432</v>
      </c>
      <c r="AC4" s="2378" t="s">
        <v>432</v>
      </c>
      <c r="AD4" s="2240" t="s">
        <v>433</v>
      </c>
      <c r="AE4" s="2241" t="s">
        <v>433</v>
      </c>
    </row>
    <row r="5" spans="1:69" ht="51" customHeight="1">
      <c r="A5" s="2981" t="s">
        <v>434</v>
      </c>
      <c r="B5" s="2982"/>
      <c r="C5" s="2461"/>
      <c r="D5" s="2431"/>
      <c r="E5" s="2454"/>
      <c r="F5" s="2370"/>
      <c r="G5" s="2374"/>
      <c r="H5" s="2375"/>
      <c r="I5" s="2375"/>
      <c r="J5" s="2375"/>
      <c r="K5" s="2376"/>
      <c r="L5" s="2377"/>
      <c r="M5" s="2375"/>
      <c r="N5" s="2375"/>
      <c r="O5" s="2375"/>
      <c r="P5" s="2375"/>
      <c r="Q5" s="2375"/>
      <c r="R5" s="2375"/>
      <c r="S5" s="1413"/>
      <c r="T5" s="1413"/>
      <c r="U5" s="1413"/>
      <c r="V5" s="1413"/>
      <c r="W5" s="1413"/>
      <c r="X5" s="1413"/>
      <c r="Y5" s="1413"/>
      <c r="Z5" s="1413"/>
      <c r="AA5" s="1413"/>
      <c r="AB5" s="1413"/>
      <c r="AC5" s="1414"/>
      <c r="AD5" s="2222"/>
      <c r="AE5" s="2248"/>
      <c r="AF5" s="519" t="s">
        <v>440</v>
      </c>
      <c r="AH5" s="1288" t="s">
        <v>441</v>
      </c>
      <c r="AI5" s="1289" t="s">
        <v>442</v>
      </c>
      <c r="AJ5" s="1289">
        <f>budgetår</f>
        <v>2026</v>
      </c>
    </row>
    <row r="6" spans="1:69" ht="24" customHeight="1">
      <c r="A6" s="2983" t="s">
        <v>443</v>
      </c>
      <c r="B6" s="2984"/>
      <c r="C6" s="2312"/>
      <c r="D6" s="2432"/>
      <c r="E6" s="2312"/>
      <c r="F6" s="2313"/>
      <c r="G6" s="2291"/>
      <c r="H6" s="1291"/>
      <c r="I6" s="1291"/>
      <c r="J6" s="1291"/>
      <c r="K6" s="1291"/>
      <c r="L6" s="1291"/>
      <c r="M6" s="1291"/>
      <c r="N6" s="1291"/>
      <c r="O6" s="1291"/>
      <c r="P6" s="1291"/>
      <c r="Q6" s="1291"/>
      <c r="R6" s="1291"/>
      <c r="S6" s="1291"/>
      <c r="T6" s="1291"/>
      <c r="U6" s="1291"/>
      <c r="V6" s="1291"/>
      <c r="W6" s="1291"/>
      <c r="X6" s="1291"/>
      <c r="Y6" s="1291"/>
      <c r="Z6" s="1291"/>
      <c r="AA6" s="1291"/>
      <c r="AB6" s="1291"/>
      <c r="AC6" s="2379"/>
      <c r="AD6" s="2222"/>
      <c r="AE6" s="2248"/>
      <c r="AF6" s="520">
        <v>353412</v>
      </c>
      <c r="AG6" s="328"/>
      <c r="AH6" s="1292" t="s">
        <v>444</v>
      </c>
      <c r="AI6" s="1293"/>
      <c r="AJ6" s="1294">
        <f>C118+D118</f>
        <v>0</v>
      </c>
    </row>
    <row r="7" spans="1:69" ht="24" customHeight="1">
      <c r="A7" s="2983" t="str">
        <f>"Antal måneder ansat januar til og med marts"&amp; budgetår&amp;" (Hvis alle skriv 3)"</f>
        <v>Antal måneder ansat januar til og med marts2026 (Hvis alle skriv 3)</v>
      </c>
      <c r="B7" s="2984"/>
      <c r="C7" s="2314"/>
      <c r="D7" s="2380"/>
      <c r="E7" s="2314"/>
      <c r="F7" s="2315"/>
      <c r="G7" s="2292"/>
      <c r="H7" s="1295"/>
      <c r="I7" s="1295"/>
      <c r="J7" s="1295"/>
      <c r="K7" s="1295"/>
      <c r="L7" s="1295"/>
      <c r="M7" s="1295"/>
      <c r="N7" s="1295"/>
      <c r="O7" s="1295"/>
      <c r="P7" s="1295"/>
      <c r="Q7" s="1295"/>
      <c r="R7" s="1295"/>
      <c r="S7" s="1295"/>
      <c r="T7" s="1295"/>
      <c r="U7" s="1295"/>
      <c r="V7" s="1295"/>
      <c r="W7" s="1295"/>
      <c r="X7" s="1295"/>
      <c r="Y7" s="1295"/>
      <c r="Z7" s="1295"/>
      <c r="AA7" s="1295"/>
      <c r="AB7" s="1295"/>
      <c r="AC7" s="2380"/>
      <c r="AD7" s="2314"/>
      <c r="AE7" s="2315"/>
      <c r="AF7" s="520">
        <v>396929</v>
      </c>
      <c r="AG7" s="328"/>
      <c r="AH7" s="1296" t="s">
        <v>445</v>
      </c>
      <c r="AI7" s="1293"/>
      <c r="AJ7" s="1294">
        <f>E118+F118</f>
        <v>0</v>
      </c>
    </row>
    <row r="8" spans="1:69" ht="24" customHeight="1">
      <c r="A8" s="1290" t="str">
        <f>"Antal måneder ansat april til og med juli "&amp;budgetår&amp;" (Hvis alle skriv 4)"</f>
        <v>Antal måneder ansat april til og med juli 2026 (Hvis alle skriv 4)</v>
      </c>
      <c r="B8" s="2290"/>
      <c r="C8" s="2314"/>
      <c r="D8" s="2380"/>
      <c r="E8" s="2314"/>
      <c r="F8" s="2315"/>
      <c r="G8" s="2292"/>
      <c r="H8" s="1295"/>
      <c r="I8" s="1295"/>
      <c r="J8" s="1295"/>
      <c r="K8" s="1295"/>
      <c r="L8" s="1295"/>
      <c r="M8" s="1295"/>
      <c r="N8" s="1295"/>
      <c r="O8" s="1295"/>
      <c r="P8" s="1295"/>
      <c r="Q8" s="1295"/>
      <c r="R8" s="1295"/>
      <c r="S8" s="1295"/>
      <c r="T8" s="1295"/>
      <c r="U8" s="1295"/>
      <c r="V8" s="1295"/>
      <c r="W8" s="1295"/>
      <c r="X8" s="1295"/>
      <c r="Y8" s="1295"/>
      <c r="Z8" s="1295"/>
      <c r="AA8" s="1295"/>
      <c r="AB8" s="1295"/>
      <c r="AC8" s="2380"/>
      <c r="AD8" s="2314"/>
      <c r="AE8" s="2315"/>
      <c r="AF8" s="520"/>
      <c r="AG8" s="328"/>
      <c r="AH8" s="1296"/>
      <c r="AI8" s="1293"/>
      <c r="AJ8" s="1294"/>
    </row>
    <row r="9" spans="1:69" ht="24" customHeight="1">
      <c r="A9" s="2983" t="str">
        <f>"Ansat antal måneder august til december "&amp;budgetår&amp;" (Hvis alle skriv 5)"</f>
        <v>Ansat antal måneder august til december 2026 (Hvis alle skriv 5)</v>
      </c>
      <c r="B9" s="2984"/>
      <c r="C9" s="2314"/>
      <c r="D9" s="2380"/>
      <c r="E9" s="2314"/>
      <c r="F9" s="2315"/>
      <c r="G9" s="2292"/>
      <c r="H9" s="1295"/>
      <c r="I9" s="1295"/>
      <c r="J9" s="1295"/>
      <c r="K9" s="1295"/>
      <c r="L9" s="1295"/>
      <c r="M9" s="1295"/>
      <c r="N9" s="1295"/>
      <c r="O9" s="1295"/>
      <c r="P9" s="1295"/>
      <c r="Q9" s="1295"/>
      <c r="R9" s="1295"/>
      <c r="S9" s="1295"/>
      <c r="T9" s="1295"/>
      <c r="U9" s="1295"/>
      <c r="V9" s="1295"/>
      <c r="W9" s="1295"/>
      <c r="X9" s="1295"/>
      <c r="Y9" s="1295"/>
      <c r="Z9" s="1295"/>
      <c r="AA9" s="1295"/>
      <c r="AB9" s="1295"/>
      <c r="AC9" s="2380"/>
      <c r="AD9" s="2314"/>
      <c r="AE9" s="2315"/>
      <c r="AF9" s="519"/>
      <c r="AG9" s="328"/>
      <c r="AH9" s="1296" t="s">
        <v>446</v>
      </c>
      <c r="AI9" s="1293"/>
      <c r="AJ9" s="1294">
        <f>C135+D135+E135+F135</f>
        <v>0</v>
      </c>
    </row>
    <row r="10" spans="1:69" ht="25" customHeight="1">
      <c r="A10" s="2983" t="s">
        <v>447</v>
      </c>
      <c r="B10" s="2984"/>
      <c r="C10" s="2316">
        <f>+C9+C7+C8</f>
        <v>0</v>
      </c>
      <c r="D10" s="2381">
        <f>+D9+D7+D8</f>
        <v>0</v>
      </c>
      <c r="E10" s="2316">
        <f t="shared" ref="E10:AE10" si="0">+E9+E7+E8</f>
        <v>0</v>
      </c>
      <c r="F10" s="2317">
        <f t="shared" ref="F10" si="1">+F9+F7+F8</f>
        <v>0</v>
      </c>
      <c r="G10" s="2293">
        <f t="shared" si="0"/>
        <v>0</v>
      </c>
      <c r="H10" s="1297">
        <f t="shared" si="0"/>
        <v>0</v>
      </c>
      <c r="I10" s="1297">
        <f>+I9+I7+I8</f>
        <v>0</v>
      </c>
      <c r="J10" s="1297">
        <f t="shared" si="0"/>
        <v>0</v>
      </c>
      <c r="K10" s="1297">
        <f t="shared" si="0"/>
        <v>0</v>
      </c>
      <c r="L10" s="1297">
        <f t="shared" si="0"/>
        <v>0</v>
      </c>
      <c r="M10" s="1297">
        <f t="shared" si="0"/>
        <v>0</v>
      </c>
      <c r="N10" s="1297">
        <f t="shared" si="0"/>
        <v>0</v>
      </c>
      <c r="O10" s="1297">
        <f t="shared" si="0"/>
        <v>0</v>
      </c>
      <c r="P10" s="1297">
        <f t="shared" si="0"/>
        <v>0</v>
      </c>
      <c r="Q10" s="1297">
        <f t="shared" si="0"/>
        <v>0</v>
      </c>
      <c r="R10" s="1297">
        <f t="shared" si="0"/>
        <v>0</v>
      </c>
      <c r="S10" s="1297">
        <f t="shared" si="0"/>
        <v>0</v>
      </c>
      <c r="T10" s="1297">
        <f t="shared" si="0"/>
        <v>0</v>
      </c>
      <c r="U10" s="1297">
        <f t="shared" si="0"/>
        <v>0</v>
      </c>
      <c r="V10" s="1297">
        <f t="shared" si="0"/>
        <v>0</v>
      </c>
      <c r="W10" s="1297">
        <f t="shared" si="0"/>
        <v>0</v>
      </c>
      <c r="X10" s="1297">
        <f t="shared" si="0"/>
        <v>0</v>
      </c>
      <c r="Y10" s="1297">
        <f t="shared" si="0"/>
        <v>0</v>
      </c>
      <c r="Z10" s="1297">
        <f t="shared" si="0"/>
        <v>0</v>
      </c>
      <c r="AA10" s="1297">
        <f t="shared" si="0"/>
        <v>0</v>
      </c>
      <c r="AB10" s="1297">
        <f t="shared" si="0"/>
        <v>0</v>
      </c>
      <c r="AC10" s="2381">
        <f t="shared" si="0"/>
        <v>0</v>
      </c>
      <c r="AD10" s="2316">
        <f t="shared" si="0"/>
        <v>0</v>
      </c>
      <c r="AE10" s="2317">
        <f t="shared" si="0"/>
        <v>0</v>
      </c>
      <c r="AF10" s="519"/>
      <c r="AG10" s="328"/>
      <c r="AH10" s="1296" t="s">
        <v>448</v>
      </c>
      <c r="AI10" s="1293"/>
      <c r="AJ10" s="1294">
        <f>C138+E138+D138+F138</f>
        <v>0</v>
      </c>
    </row>
    <row r="11" spans="1:69" ht="25" customHeight="1">
      <c r="A11" s="2983" t="str">
        <f>"Antal måneder ansat i "&amp;budgetår+1&amp;""</f>
        <v>Antal måneder ansat i 2027</v>
      </c>
      <c r="B11" s="2984"/>
      <c r="C11" s="2318"/>
      <c r="D11" s="2382"/>
      <c r="E11" s="2318"/>
      <c r="F11" s="2311"/>
      <c r="G11" s="2294"/>
      <c r="H11" s="1286"/>
      <c r="I11" s="1286"/>
      <c r="J11" s="1286"/>
      <c r="K11" s="1286"/>
      <c r="L11" s="1286"/>
      <c r="M11" s="1286"/>
      <c r="N11" s="1286"/>
      <c r="O11" s="1286"/>
      <c r="P11" s="1286"/>
      <c r="Q11" s="1286"/>
      <c r="R11" s="1286"/>
      <c r="S11" s="1286"/>
      <c r="T11" s="1286"/>
      <c r="U11" s="1286"/>
      <c r="V11" s="1286"/>
      <c r="W11" s="1286"/>
      <c r="X11" s="1286"/>
      <c r="Y11" s="1286"/>
      <c r="Z11" s="1286"/>
      <c r="AA11" s="1286"/>
      <c r="AB11" s="1286"/>
      <c r="AC11" s="2382"/>
      <c r="AD11" s="2318"/>
      <c r="AE11" s="2311"/>
      <c r="AF11" s="519"/>
      <c r="AG11" s="328" t="s">
        <v>449</v>
      </c>
      <c r="AH11" s="1296" t="s">
        <v>450</v>
      </c>
      <c r="AI11" s="1293"/>
      <c r="AJ11" s="1294">
        <f>C146+E146+D146+F146</f>
        <v>0</v>
      </c>
    </row>
    <row r="12" spans="1:69" ht="27" customHeight="1">
      <c r="A12" s="2981" t="s">
        <v>1490</v>
      </c>
      <c r="B12" s="2982"/>
      <c r="C12" s="2222" t="s">
        <v>449</v>
      </c>
      <c r="D12" s="2383" t="s">
        <v>449</v>
      </c>
      <c r="E12" s="2222" t="s">
        <v>449</v>
      </c>
      <c r="F12" s="2248" t="s">
        <v>449</v>
      </c>
      <c r="G12" s="2137" t="s">
        <v>449</v>
      </c>
      <c r="H12" s="1287" t="s">
        <v>449</v>
      </c>
      <c r="I12" s="1287" t="s">
        <v>449</v>
      </c>
      <c r="J12" s="1287" t="s">
        <v>449</v>
      </c>
      <c r="K12" s="1287" t="s">
        <v>449</v>
      </c>
      <c r="L12" s="1287" t="s">
        <v>449</v>
      </c>
      <c r="M12" s="1287" t="s">
        <v>449</v>
      </c>
      <c r="N12" s="1287" t="s">
        <v>449</v>
      </c>
      <c r="O12" s="1287" t="s">
        <v>449</v>
      </c>
      <c r="P12" s="1287" t="s">
        <v>449</v>
      </c>
      <c r="Q12" s="1287" t="s">
        <v>449</v>
      </c>
      <c r="R12" s="1287" t="s">
        <v>449</v>
      </c>
      <c r="S12" s="1287" t="s">
        <v>449</v>
      </c>
      <c r="T12" s="1287" t="s">
        <v>449</v>
      </c>
      <c r="U12" s="1287" t="s">
        <v>449</v>
      </c>
      <c r="V12" s="1287" t="s">
        <v>449</v>
      </c>
      <c r="W12" s="1287" t="s">
        <v>449</v>
      </c>
      <c r="X12" s="1287" t="s">
        <v>449</v>
      </c>
      <c r="Y12" s="1287" t="s">
        <v>449</v>
      </c>
      <c r="Z12" s="1287" t="s">
        <v>449</v>
      </c>
      <c r="AA12" s="1287" t="s">
        <v>449</v>
      </c>
      <c r="AB12" s="1287" t="s">
        <v>449</v>
      </c>
      <c r="AC12" s="2383" t="s">
        <v>449</v>
      </c>
      <c r="AD12" s="2222" t="s">
        <v>449</v>
      </c>
      <c r="AE12" s="2248" t="s">
        <v>449</v>
      </c>
      <c r="AF12" s="519"/>
      <c r="AG12" s="328" t="s">
        <v>451</v>
      </c>
      <c r="AH12" s="1296" t="s">
        <v>452</v>
      </c>
      <c r="AI12" s="1293"/>
      <c r="AJ12" s="1294">
        <f>E141+C141+D141+F141</f>
        <v>0</v>
      </c>
    </row>
    <row r="13" spans="1:69" ht="27" customHeight="1">
      <c r="A13" s="2981" t="s">
        <v>1491</v>
      </c>
      <c r="B13" s="2982"/>
      <c r="C13" s="2223" t="s">
        <v>449</v>
      </c>
      <c r="D13" s="2384" t="s">
        <v>449</v>
      </c>
      <c r="E13" s="2223" t="s">
        <v>449</v>
      </c>
      <c r="F13" s="2249" t="s">
        <v>449</v>
      </c>
      <c r="G13" s="2138" t="s">
        <v>449</v>
      </c>
      <c r="H13" s="1299" t="s">
        <v>449</v>
      </c>
      <c r="I13" s="1299" t="s">
        <v>449</v>
      </c>
      <c r="J13" s="1299" t="s">
        <v>449</v>
      </c>
      <c r="K13" s="1299" t="s">
        <v>449</v>
      </c>
      <c r="L13" s="1299" t="s">
        <v>449</v>
      </c>
      <c r="M13" s="1299" t="s">
        <v>449</v>
      </c>
      <c r="N13" s="1299" t="s">
        <v>449</v>
      </c>
      <c r="O13" s="1299" t="s">
        <v>449</v>
      </c>
      <c r="P13" s="1299" t="s">
        <v>449</v>
      </c>
      <c r="Q13" s="1299" t="s">
        <v>449</v>
      </c>
      <c r="R13" s="1299" t="s">
        <v>449</v>
      </c>
      <c r="S13" s="1299" t="s">
        <v>449</v>
      </c>
      <c r="T13" s="1299" t="s">
        <v>449</v>
      </c>
      <c r="U13" s="1299" t="s">
        <v>449</v>
      </c>
      <c r="V13" s="1299" t="s">
        <v>449</v>
      </c>
      <c r="W13" s="1299" t="s">
        <v>449</v>
      </c>
      <c r="X13" s="1299" t="s">
        <v>449</v>
      </c>
      <c r="Y13" s="1299" t="s">
        <v>449</v>
      </c>
      <c r="Z13" s="1299" t="s">
        <v>449</v>
      </c>
      <c r="AA13" s="1299" t="s">
        <v>449</v>
      </c>
      <c r="AB13" s="1299" t="s">
        <v>449</v>
      </c>
      <c r="AC13" s="2384" t="s">
        <v>449</v>
      </c>
      <c r="AD13" s="2222" t="s">
        <v>449</v>
      </c>
      <c r="AE13" s="2248" t="s">
        <v>449</v>
      </c>
      <c r="AF13" s="519"/>
      <c r="AG13" s="328"/>
      <c r="AH13" s="1296"/>
      <c r="AI13" s="1293"/>
      <c r="AJ13" s="1294"/>
    </row>
    <row r="14" spans="1:69" ht="27" customHeight="1">
      <c r="A14" s="2983" t="str">
        <f>"SENIORBONUS. Er den ansatte eller fylder den ansatte 62 år i "&amp;budgetår&amp;" (Vælg: Ja) Seniorbonus beregnes automatisk"</f>
        <v>SENIORBONUS. Er den ansatte eller fylder den ansatte 62 år i 2026 (Vælg: Ja) Seniorbonus beregnes automatisk</v>
      </c>
      <c r="B14" s="2984"/>
      <c r="C14" s="2223" t="s">
        <v>449</v>
      </c>
      <c r="D14" s="2384" t="s">
        <v>449</v>
      </c>
      <c r="E14" s="2223" t="s">
        <v>449</v>
      </c>
      <c r="F14" s="2249" t="s">
        <v>449</v>
      </c>
      <c r="G14" s="2138" t="s">
        <v>449</v>
      </c>
      <c r="H14" s="1299" t="s">
        <v>449</v>
      </c>
      <c r="I14" s="1299" t="s">
        <v>449</v>
      </c>
      <c r="J14" s="1299" t="s">
        <v>449</v>
      </c>
      <c r="K14" s="1299" t="s">
        <v>449</v>
      </c>
      <c r="L14" s="1299" t="s">
        <v>449</v>
      </c>
      <c r="M14" s="1299" t="s">
        <v>449</v>
      </c>
      <c r="N14" s="1299" t="s">
        <v>449</v>
      </c>
      <c r="O14" s="1299" t="s">
        <v>449</v>
      </c>
      <c r="P14" s="1299" t="s">
        <v>449</v>
      </c>
      <c r="Q14" s="1299" t="s">
        <v>449</v>
      </c>
      <c r="R14" s="1299" t="s">
        <v>449</v>
      </c>
      <c r="S14" s="1299" t="s">
        <v>449</v>
      </c>
      <c r="T14" s="1299" t="s">
        <v>449</v>
      </c>
      <c r="U14" s="1299" t="s">
        <v>449</v>
      </c>
      <c r="V14" s="1299" t="s">
        <v>449</v>
      </c>
      <c r="W14" s="1299" t="s">
        <v>449</v>
      </c>
      <c r="X14" s="1299" t="s">
        <v>449</v>
      </c>
      <c r="Y14" s="1299" t="s">
        <v>449</v>
      </c>
      <c r="Z14" s="1299" t="s">
        <v>449</v>
      </c>
      <c r="AA14" s="1299" t="s">
        <v>449</v>
      </c>
      <c r="AB14" s="1299" t="s">
        <v>449</v>
      </c>
      <c r="AC14" s="2384" t="s">
        <v>449</v>
      </c>
      <c r="AD14" s="2401"/>
      <c r="AE14" s="2402"/>
      <c r="AF14" s="519"/>
      <c r="AG14" s="328"/>
      <c r="AH14" s="1296"/>
      <c r="AI14" s="1293"/>
      <c r="AJ14" s="1294"/>
    </row>
    <row r="15" spans="1:69" ht="27" customHeight="1">
      <c r="A15" s="2983" t="str">
        <f>"SENIORBONUS. Er den ansatte eller fylder den ansatte 62 år i "&amp;budgetår+1&amp;" (Vælg: Ja) Seniorbonus beregnes automatisk"</f>
        <v>SENIORBONUS. Er den ansatte eller fylder den ansatte 62 år i 2027 (Vælg: Ja) Seniorbonus beregnes automatisk</v>
      </c>
      <c r="B15" s="2984"/>
      <c r="C15" s="2223" t="s">
        <v>453</v>
      </c>
      <c r="D15" s="2384" t="s">
        <v>449</v>
      </c>
      <c r="E15" s="2223" t="s">
        <v>453</v>
      </c>
      <c r="F15" s="2249" t="s">
        <v>449</v>
      </c>
      <c r="G15" s="2138" t="s">
        <v>449</v>
      </c>
      <c r="H15" s="1299" t="s">
        <v>449</v>
      </c>
      <c r="I15" s="1299" t="s">
        <v>449</v>
      </c>
      <c r="J15" s="1299" t="s">
        <v>449</v>
      </c>
      <c r="K15" s="1299" t="s">
        <v>449</v>
      </c>
      <c r="L15" s="1299" t="s">
        <v>449</v>
      </c>
      <c r="M15" s="1299" t="s">
        <v>449</v>
      </c>
      <c r="N15" s="1299" t="s">
        <v>449</v>
      </c>
      <c r="O15" s="1299" t="s">
        <v>449</v>
      </c>
      <c r="P15" s="1299" t="s">
        <v>449</v>
      </c>
      <c r="Q15" s="1299" t="s">
        <v>449</v>
      </c>
      <c r="R15" s="1299" t="s">
        <v>449</v>
      </c>
      <c r="S15" s="1299" t="s">
        <v>449</v>
      </c>
      <c r="T15" s="1299" t="s">
        <v>449</v>
      </c>
      <c r="U15" s="1299" t="s">
        <v>449</v>
      </c>
      <c r="V15" s="1299" t="s">
        <v>449</v>
      </c>
      <c r="W15" s="1299" t="s">
        <v>449</v>
      </c>
      <c r="X15" s="1299" t="s">
        <v>449</v>
      </c>
      <c r="Y15" s="1299" t="s">
        <v>449</v>
      </c>
      <c r="Z15" s="1299" t="s">
        <v>449</v>
      </c>
      <c r="AA15" s="1299" t="s">
        <v>449</v>
      </c>
      <c r="AB15" s="1299" t="s">
        <v>449</v>
      </c>
      <c r="AC15" s="2384" t="s">
        <v>449</v>
      </c>
      <c r="AD15" s="2403"/>
      <c r="AE15" s="2404"/>
      <c r="AF15" s="519"/>
      <c r="AG15" s="328"/>
      <c r="AH15" s="1296"/>
      <c r="AI15" s="1293"/>
      <c r="AJ15" s="1294"/>
    </row>
    <row r="16" spans="1:69" ht="25" customHeight="1">
      <c r="A16" s="2983" t="s">
        <v>454</v>
      </c>
      <c r="B16" s="2984"/>
      <c r="C16" s="2226" t="s">
        <v>455</v>
      </c>
      <c r="D16" s="2386" t="s">
        <v>455</v>
      </c>
      <c r="E16" s="2226" t="s">
        <v>455</v>
      </c>
      <c r="F16" s="2259" t="s">
        <v>455</v>
      </c>
      <c r="G16" s="2137" t="s">
        <v>455</v>
      </c>
      <c r="H16" s="1287" t="s">
        <v>455</v>
      </c>
      <c r="I16" s="1287" t="s">
        <v>455</v>
      </c>
      <c r="J16" s="1287" t="s">
        <v>455</v>
      </c>
      <c r="K16" s="1287" t="s">
        <v>455</v>
      </c>
      <c r="L16" s="1287" t="s">
        <v>455</v>
      </c>
      <c r="M16" s="1287" t="s">
        <v>455</v>
      </c>
      <c r="N16" s="1287" t="s">
        <v>456</v>
      </c>
      <c r="O16" s="1287" t="s">
        <v>455</v>
      </c>
      <c r="P16" s="1287" t="s">
        <v>455</v>
      </c>
      <c r="Q16" s="1287" t="s">
        <v>455</v>
      </c>
      <c r="R16" s="1287" t="s">
        <v>455</v>
      </c>
      <c r="S16" s="1287" t="s">
        <v>455</v>
      </c>
      <c r="T16" s="1287" t="s">
        <v>455</v>
      </c>
      <c r="U16" s="1287" t="s">
        <v>455</v>
      </c>
      <c r="V16" s="1287" t="s">
        <v>455</v>
      </c>
      <c r="W16" s="1287" t="s">
        <v>455</v>
      </c>
      <c r="X16" s="1287" t="s">
        <v>455</v>
      </c>
      <c r="Y16" s="1287" t="s">
        <v>455</v>
      </c>
      <c r="Z16" s="1287" t="s">
        <v>455</v>
      </c>
      <c r="AA16" s="1287" t="s">
        <v>455</v>
      </c>
      <c r="AB16" s="1287" t="s">
        <v>455</v>
      </c>
      <c r="AC16" s="2383" t="s">
        <v>455</v>
      </c>
      <c r="AD16" s="2222" t="s">
        <v>455</v>
      </c>
      <c r="AE16" s="2248" t="s">
        <v>455</v>
      </c>
      <c r="AF16" s="521" t="s">
        <v>457</v>
      </c>
      <c r="AG16" s="328" t="s">
        <v>458</v>
      </c>
      <c r="AH16" s="1301" t="s">
        <v>459</v>
      </c>
      <c r="AI16" s="1302" t="s">
        <v>442</v>
      </c>
      <c r="AJ16" s="1302">
        <f>budgetår</f>
        <v>2026</v>
      </c>
      <c r="BQ16" s="62" t="s">
        <v>460</v>
      </c>
    </row>
    <row r="17" spans="1:36" ht="25" customHeight="1">
      <c r="A17" s="2983" t="s">
        <v>461</v>
      </c>
      <c r="B17" s="2984"/>
      <c r="C17" s="2224">
        <f>PrcAar</f>
        <v>1.2725471124999996</v>
      </c>
      <c r="D17" s="2280">
        <f>PrcAar</f>
        <v>1.2725471124999996</v>
      </c>
      <c r="E17" s="2224">
        <f t="shared" ref="D17:H18" si="2">$C17</f>
        <v>1.2725471124999996</v>
      </c>
      <c r="F17" s="2253">
        <f t="shared" si="2"/>
        <v>1.2725471124999996</v>
      </c>
      <c r="G17" s="2139">
        <f t="shared" si="2"/>
        <v>1.2725471124999996</v>
      </c>
      <c r="H17" s="1303">
        <f t="shared" si="2"/>
        <v>1.2725471124999996</v>
      </c>
      <c r="I17" s="1303">
        <f t="shared" ref="I17:AE18" si="3">$C17</f>
        <v>1.2725471124999996</v>
      </c>
      <c r="J17" s="1303">
        <f t="shared" si="3"/>
        <v>1.2725471124999996</v>
      </c>
      <c r="K17" s="1303">
        <f t="shared" si="3"/>
        <v>1.2725471124999996</v>
      </c>
      <c r="L17" s="1303">
        <f t="shared" si="3"/>
        <v>1.2725471124999996</v>
      </c>
      <c r="M17" s="1303">
        <f t="shared" si="3"/>
        <v>1.2725471124999996</v>
      </c>
      <c r="N17" s="1303">
        <f t="shared" si="3"/>
        <v>1.2725471124999996</v>
      </c>
      <c r="O17" s="1303">
        <f t="shared" si="3"/>
        <v>1.2725471124999996</v>
      </c>
      <c r="P17" s="1303">
        <f>$C17</f>
        <v>1.2725471124999996</v>
      </c>
      <c r="Q17" s="1303">
        <f t="shared" si="3"/>
        <v>1.2725471124999996</v>
      </c>
      <c r="R17" s="1303">
        <f t="shared" si="3"/>
        <v>1.2725471124999996</v>
      </c>
      <c r="S17" s="1303">
        <f t="shared" si="3"/>
        <v>1.2725471124999996</v>
      </c>
      <c r="T17" s="1303">
        <f t="shared" si="3"/>
        <v>1.2725471124999996</v>
      </c>
      <c r="U17" s="1303">
        <f t="shared" si="3"/>
        <v>1.2725471124999996</v>
      </c>
      <c r="V17" s="1303">
        <f t="shared" si="3"/>
        <v>1.2725471124999996</v>
      </c>
      <c r="W17" s="1303">
        <f t="shared" si="3"/>
        <v>1.2725471124999996</v>
      </c>
      <c r="X17" s="1303">
        <f t="shared" si="3"/>
        <v>1.2725471124999996</v>
      </c>
      <c r="Y17" s="1303">
        <f t="shared" si="3"/>
        <v>1.2725471124999996</v>
      </c>
      <c r="Z17" s="1303">
        <f t="shared" si="3"/>
        <v>1.2725471124999996</v>
      </c>
      <c r="AA17" s="1303">
        <f t="shared" si="3"/>
        <v>1.2725471124999996</v>
      </c>
      <c r="AB17" s="1303">
        <f t="shared" si="3"/>
        <v>1.2725471124999996</v>
      </c>
      <c r="AC17" s="2280">
        <f t="shared" si="3"/>
        <v>1.2725471124999996</v>
      </c>
      <c r="AD17" s="2224">
        <f t="shared" si="3"/>
        <v>1.2725471124999996</v>
      </c>
      <c r="AE17" s="2253">
        <f t="shared" si="3"/>
        <v>1.2725471124999996</v>
      </c>
      <c r="AF17" s="522"/>
      <c r="AG17" s="328" t="s">
        <v>449</v>
      </c>
      <c r="AH17" s="1304" t="s">
        <v>462</v>
      </c>
      <c r="AI17" s="1293"/>
      <c r="AJ17" s="1304"/>
    </row>
    <row r="18" spans="1:36" ht="25" customHeight="1">
      <c r="A18" s="2983" t="s">
        <v>463</v>
      </c>
      <c r="B18" s="2984"/>
      <c r="C18" s="2319">
        <f>Forside!G12</f>
        <v>0</v>
      </c>
      <c r="D18" s="2385">
        <f t="shared" si="2"/>
        <v>0</v>
      </c>
      <c r="E18" s="2319">
        <f t="shared" si="2"/>
        <v>0</v>
      </c>
      <c r="F18" s="2320">
        <f t="shared" si="2"/>
        <v>0</v>
      </c>
      <c r="G18" s="2295">
        <f>$C18</f>
        <v>0</v>
      </c>
      <c r="H18" s="1298">
        <f t="shared" si="2"/>
        <v>0</v>
      </c>
      <c r="I18" s="1298">
        <f t="shared" si="3"/>
        <v>0</v>
      </c>
      <c r="J18" s="1298">
        <f t="shared" si="3"/>
        <v>0</v>
      </c>
      <c r="K18" s="1298">
        <f t="shared" si="3"/>
        <v>0</v>
      </c>
      <c r="L18" s="1298">
        <f t="shared" si="3"/>
        <v>0</v>
      </c>
      <c r="M18" s="1298">
        <f t="shared" si="3"/>
        <v>0</v>
      </c>
      <c r="N18" s="1298">
        <f t="shared" si="3"/>
        <v>0</v>
      </c>
      <c r="O18" s="1298">
        <f t="shared" si="3"/>
        <v>0</v>
      </c>
      <c r="P18" s="1298">
        <f>$C18</f>
        <v>0</v>
      </c>
      <c r="Q18" s="1298">
        <f t="shared" si="3"/>
        <v>0</v>
      </c>
      <c r="R18" s="1298">
        <f t="shared" si="3"/>
        <v>0</v>
      </c>
      <c r="S18" s="1298">
        <f t="shared" si="3"/>
        <v>0</v>
      </c>
      <c r="T18" s="1298">
        <f t="shared" si="3"/>
        <v>0</v>
      </c>
      <c r="U18" s="1298">
        <f t="shared" si="3"/>
        <v>0</v>
      </c>
      <c r="V18" s="1298">
        <f t="shared" si="3"/>
        <v>0</v>
      </c>
      <c r="W18" s="1298">
        <f t="shared" si="3"/>
        <v>0</v>
      </c>
      <c r="X18" s="1298">
        <f t="shared" si="3"/>
        <v>0</v>
      </c>
      <c r="Y18" s="1298">
        <f t="shared" si="3"/>
        <v>0</v>
      </c>
      <c r="Z18" s="1298">
        <f t="shared" si="3"/>
        <v>0</v>
      </c>
      <c r="AA18" s="1298">
        <f t="shared" si="3"/>
        <v>0</v>
      </c>
      <c r="AB18" s="1298">
        <f t="shared" si="3"/>
        <v>0</v>
      </c>
      <c r="AC18" s="2385">
        <f t="shared" si="3"/>
        <v>0</v>
      </c>
      <c r="AD18" s="2319">
        <f t="shared" si="3"/>
        <v>0</v>
      </c>
      <c r="AE18" s="2320">
        <f t="shared" si="3"/>
        <v>0</v>
      </c>
      <c r="AF18" s="519" t="s">
        <v>464</v>
      </c>
      <c r="AG18" s="328" t="s">
        <v>455</v>
      </c>
      <c r="AH18" s="1304" t="s">
        <v>465</v>
      </c>
      <c r="AI18" s="1293"/>
      <c r="AJ18" s="1305">
        <f>SUM(G124:AC124)+SUM(G133:AC133)</f>
        <v>0</v>
      </c>
    </row>
    <row r="19" spans="1:36" ht="25" customHeight="1">
      <c r="A19" s="2983" t="s">
        <v>466</v>
      </c>
      <c r="B19" s="2984"/>
      <c r="C19" s="2226"/>
      <c r="D19" s="2386"/>
      <c r="E19" s="2226"/>
      <c r="F19" s="2259"/>
      <c r="G19" s="2296"/>
      <c r="H19" s="1306"/>
      <c r="I19" s="1306"/>
      <c r="J19" s="1306"/>
      <c r="K19" s="1306"/>
      <c r="L19" s="1306"/>
      <c r="M19" s="1306"/>
      <c r="N19" s="1306"/>
      <c r="O19" s="1306"/>
      <c r="P19" s="1306"/>
      <c r="Q19" s="1306"/>
      <c r="R19" s="1300"/>
      <c r="S19" s="1300"/>
      <c r="T19" s="1300"/>
      <c r="U19" s="1300"/>
      <c r="V19" s="1300"/>
      <c r="W19" s="1300"/>
      <c r="X19" s="1300"/>
      <c r="Y19" s="1300"/>
      <c r="Z19" s="1300"/>
      <c r="AA19" s="1300"/>
      <c r="AB19" s="1300"/>
      <c r="AC19" s="2386"/>
      <c r="AD19" s="2405"/>
      <c r="AE19" s="2406"/>
      <c r="AF19" s="521" t="s">
        <v>467</v>
      </c>
      <c r="AH19" s="1304" t="s">
        <v>468</v>
      </c>
      <c r="AI19" s="1293"/>
      <c r="AJ19" s="1305">
        <f>SUM(G121:AC121)</f>
        <v>0</v>
      </c>
    </row>
    <row r="20" spans="1:36" ht="25" customHeight="1">
      <c r="A20" s="2981" t="s">
        <v>469</v>
      </c>
      <c r="B20" s="2982"/>
      <c r="C20" s="2227"/>
      <c r="D20" s="2387"/>
      <c r="E20" s="2227"/>
      <c r="F20" s="2260"/>
      <c r="G20" s="2142"/>
      <c r="H20" s="1307"/>
      <c r="I20" s="1307"/>
      <c r="J20" s="1307"/>
      <c r="K20" s="1307"/>
      <c r="L20" s="1307"/>
      <c r="M20" s="1307"/>
      <c r="N20" s="1307"/>
      <c r="O20" s="1307"/>
      <c r="P20" s="1307"/>
      <c r="Q20" s="1307"/>
      <c r="R20" s="1307"/>
      <c r="S20" s="1307"/>
      <c r="T20" s="1307"/>
      <c r="U20" s="1307"/>
      <c r="V20" s="1307"/>
      <c r="W20" s="1307"/>
      <c r="X20" s="1307"/>
      <c r="Y20" s="1307"/>
      <c r="Z20" s="1307"/>
      <c r="AA20" s="1307"/>
      <c r="AB20" s="1307"/>
      <c r="AC20" s="2387"/>
      <c r="AD20" s="2405"/>
      <c r="AE20" s="2406"/>
      <c r="AF20" s="521"/>
      <c r="AH20" s="1304"/>
      <c r="AI20" s="1293"/>
      <c r="AJ20" s="1305"/>
    </row>
    <row r="21" spans="1:36" ht="25" customHeight="1">
      <c r="A21" s="2981" t="s">
        <v>470</v>
      </c>
      <c r="B21" s="2982"/>
      <c r="C21" s="2321"/>
      <c r="D21" s="2433"/>
      <c r="E21" s="2321"/>
      <c r="F21" s="2322"/>
      <c r="G21" s="2297"/>
      <c r="H21" s="1308"/>
      <c r="I21" s="1308"/>
      <c r="J21" s="1308"/>
      <c r="K21" s="1309"/>
      <c r="L21" s="1309"/>
      <c r="M21" s="1309"/>
      <c r="N21" s="1309"/>
      <c r="O21" s="1309"/>
      <c r="P21" s="1308"/>
      <c r="Q21" s="1308"/>
      <c r="R21" s="1308"/>
      <c r="S21" s="1308"/>
      <c r="T21" s="1308"/>
      <c r="U21" s="1308"/>
      <c r="V21" s="1308"/>
      <c r="W21" s="1308"/>
      <c r="X21" s="1308"/>
      <c r="Y21" s="1308"/>
      <c r="Z21" s="1308"/>
      <c r="AA21" s="1308"/>
      <c r="AB21" s="1308"/>
      <c r="AC21" s="2388"/>
      <c r="AD21" s="2407"/>
      <c r="AE21" s="2408"/>
      <c r="AF21" s="519" t="s">
        <v>471</v>
      </c>
      <c r="AH21" s="1304" t="s">
        <v>472</v>
      </c>
      <c r="AI21" s="1293"/>
      <c r="AJ21" s="1305">
        <f>SUM(G118:AC118)</f>
        <v>0</v>
      </c>
    </row>
    <row r="22" spans="1:36" ht="24" customHeight="1">
      <c r="A22" s="2983" t="s">
        <v>473</v>
      </c>
      <c r="B22" s="2984"/>
      <c r="C22" s="2321"/>
      <c r="D22" s="2433"/>
      <c r="E22" s="2321"/>
      <c r="F22" s="2322"/>
      <c r="G22" s="2298">
        <f t="shared" ref="G22:AC22" si="4">IF(G19&gt;0,ROUND((ROUND(VLOOKUP(G5,basistabel,2,0)*G17,0))/12,2),0)</f>
        <v>0</v>
      </c>
      <c r="H22" s="1310">
        <f t="shared" si="4"/>
        <v>0</v>
      </c>
      <c r="I22" s="1310">
        <f t="shared" si="4"/>
        <v>0</v>
      </c>
      <c r="J22" s="1310">
        <f t="shared" si="4"/>
        <v>0</v>
      </c>
      <c r="K22" s="1310">
        <f t="shared" si="4"/>
        <v>0</v>
      </c>
      <c r="L22" s="1310">
        <f t="shared" si="4"/>
        <v>0</v>
      </c>
      <c r="M22" s="1310">
        <f t="shared" si="4"/>
        <v>0</v>
      </c>
      <c r="N22" s="1310">
        <f t="shared" si="4"/>
        <v>0</v>
      </c>
      <c r="O22" s="1310">
        <f t="shared" si="4"/>
        <v>0</v>
      </c>
      <c r="P22" s="1310">
        <f t="shared" si="4"/>
        <v>0</v>
      </c>
      <c r="Q22" s="1310">
        <f t="shared" si="4"/>
        <v>0</v>
      </c>
      <c r="R22" s="1310">
        <f t="shared" si="4"/>
        <v>0</v>
      </c>
      <c r="S22" s="1310">
        <f t="shared" si="4"/>
        <v>0</v>
      </c>
      <c r="T22" s="1310">
        <f t="shared" si="4"/>
        <v>0</v>
      </c>
      <c r="U22" s="1310">
        <f t="shared" si="4"/>
        <v>0</v>
      </c>
      <c r="V22" s="1310">
        <f t="shared" si="4"/>
        <v>0</v>
      </c>
      <c r="W22" s="1310">
        <f t="shared" si="4"/>
        <v>0</v>
      </c>
      <c r="X22" s="1310">
        <f t="shared" si="4"/>
        <v>0</v>
      </c>
      <c r="Y22" s="1310">
        <f t="shared" si="4"/>
        <v>0</v>
      </c>
      <c r="Z22" s="1310">
        <f t="shared" si="4"/>
        <v>0</v>
      </c>
      <c r="AA22" s="1310">
        <f t="shared" si="4"/>
        <v>0</v>
      </c>
      <c r="AB22" s="1310">
        <f t="shared" si="4"/>
        <v>0</v>
      </c>
      <c r="AC22" s="2389">
        <f t="shared" si="4"/>
        <v>0</v>
      </c>
      <c r="AD22" s="2407"/>
      <c r="AE22" s="2408"/>
      <c r="AF22" s="519" t="s">
        <v>474</v>
      </c>
      <c r="AH22" s="1304" t="s">
        <v>475</v>
      </c>
      <c r="AI22" s="1293"/>
      <c r="AJ22" s="1305">
        <f>SUM(G127:AC127)</f>
        <v>0</v>
      </c>
    </row>
    <row r="23" spans="1:36" ht="24" customHeight="1">
      <c r="A23" s="2983" t="s">
        <v>476</v>
      </c>
      <c r="B23" s="2984"/>
      <c r="C23" s="2323"/>
      <c r="D23" s="2434"/>
      <c r="E23" s="2323"/>
      <c r="F23" s="2324"/>
      <c r="G23" s="2299">
        <f t="shared" ref="G23:AC23" si="5">IF(G19&gt;0,ROUND((VLOOKUP(G5,omraadetabel,G18,0))/12,2),0)</f>
        <v>0</v>
      </c>
      <c r="H23" s="1311">
        <f t="shared" si="5"/>
        <v>0</v>
      </c>
      <c r="I23" s="1311">
        <f t="shared" si="5"/>
        <v>0</v>
      </c>
      <c r="J23" s="1311">
        <f t="shared" si="5"/>
        <v>0</v>
      </c>
      <c r="K23" s="1311">
        <f t="shared" si="5"/>
        <v>0</v>
      </c>
      <c r="L23" s="1311">
        <f t="shared" si="5"/>
        <v>0</v>
      </c>
      <c r="M23" s="1311">
        <f t="shared" si="5"/>
        <v>0</v>
      </c>
      <c r="N23" s="1311">
        <f t="shared" si="5"/>
        <v>0</v>
      </c>
      <c r="O23" s="1311">
        <f t="shared" si="5"/>
        <v>0</v>
      </c>
      <c r="P23" s="1311">
        <f t="shared" si="5"/>
        <v>0</v>
      </c>
      <c r="Q23" s="1311">
        <f t="shared" si="5"/>
        <v>0</v>
      </c>
      <c r="R23" s="1311">
        <f t="shared" si="5"/>
        <v>0</v>
      </c>
      <c r="S23" s="1311">
        <f t="shared" si="5"/>
        <v>0</v>
      </c>
      <c r="T23" s="1311">
        <f t="shared" si="5"/>
        <v>0</v>
      </c>
      <c r="U23" s="1311">
        <f t="shared" si="5"/>
        <v>0</v>
      </c>
      <c r="V23" s="1311">
        <f t="shared" si="5"/>
        <v>0</v>
      </c>
      <c r="W23" s="1311">
        <f t="shared" si="5"/>
        <v>0</v>
      </c>
      <c r="X23" s="1311">
        <f t="shared" si="5"/>
        <v>0</v>
      </c>
      <c r="Y23" s="1311">
        <f t="shared" si="5"/>
        <v>0</v>
      </c>
      <c r="Z23" s="1311">
        <f t="shared" si="5"/>
        <v>0</v>
      </c>
      <c r="AA23" s="1311">
        <f t="shared" si="5"/>
        <v>0</v>
      </c>
      <c r="AB23" s="1311">
        <f t="shared" si="5"/>
        <v>0</v>
      </c>
      <c r="AC23" s="2390">
        <f t="shared" si="5"/>
        <v>0</v>
      </c>
      <c r="AD23" s="2407"/>
      <c r="AE23" s="2408"/>
      <c r="AF23" s="519" t="s">
        <v>474</v>
      </c>
      <c r="AH23" s="1304" t="s">
        <v>477</v>
      </c>
      <c r="AI23" s="1293"/>
      <c r="AJ23" s="1305">
        <f>SUM(G129:AC129)</f>
        <v>0</v>
      </c>
    </row>
    <row r="24" spans="1:36" ht="24" customHeight="1">
      <c r="A24" s="2983" t="s">
        <v>478</v>
      </c>
      <c r="B24" s="2984"/>
      <c r="C24" s="2325">
        <f>IF(C5&gt;0,C5/12*C17*C$19,0)</f>
        <v>0</v>
      </c>
      <c r="D24" s="2389">
        <f>IF(D5&gt;0,D5/12*D17*D$19,0)</f>
        <v>0</v>
      </c>
      <c r="E24" s="2325">
        <f>IF(E5&gt;0,E5/12*E17*E$19,0)</f>
        <v>0</v>
      </c>
      <c r="F24" s="2326">
        <f>IF(F5&gt;0,F5/12*F17*F$19,0)</f>
        <v>0</v>
      </c>
      <c r="G24" s="2298">
        <f>ROUND((G$22+G$23)*G$19,2)</f>
        <v>0</v>
      </c>
      <c r="H24" s="1310">
        <f t="shared" ref="H24:AC24" si="6">ROUND((H$22+H$23)*H$19,2)</f>
        <v>0</v>
      </c>
      <c r="I24" s="1310">
        <f t="shared" si="6"/>
        <v>0</v>
      </c>
      <c r="J24" s="1310">
        <f t="shared" si="6"/>
        <v>0</v>
      </c>
      <c r="K24" s="1310">
        <f t="shared" si="6"/>
        <v>0</v>
      </c>
      <c r="L24" s="1310">
        <f t="shared" si="6"/>
        <v>0</v>
      </c>
      <c r="M24" s="1310">
        <f t="shared" si="6"/>
        <v>0</v>
      </c>
      <c r="N24" s="1310">
        <f t="shared" si="6"/>
        <v>0</v>
      </c>
      <c r="O24" s="1310">
        <f t="shared" si="6"/>
        <v>0</v>
      </c>
      <c r="P24" s="1310">
        <f t="shared" si="6"/>
        <v>0</v>
      </c>
      <c r="Q24" s="1310">
        <f t="shared" si="6"/>
        <v>0</v>
      </c>
      <c r="R24" s="1310">
        <f t="shared" si="6"/>
        <v>0</v>
      </c>
      <c r="S24" s="1310">
        <f t="shared" si="6"/>
        <v>0</v>
      </c>
      <c r="T24" s="1310">
        <f t="shared" si="6"/>
        <v>0</v>
      </c>
      <c r="U24" s="1310">
        <f t="shared" si="6"/>
        <v>0</v>
      </c>
      <c r="V24" s="1310">
        <f t="shared" si="6"/>
        <v>0</v>
      </c>
      <c r="W24" s="1310">
        <f t="shared" si="6"/>
        <v>0</v>
      </c>
      <c r="X24" s="1310">
        <f t="shared" si="6"/>
        <v>0</v>
      </c>
      <c r="Y24" s="1310">
        <f t="shared" si="6"/>
        <v>0</v>
      </c>
      <c r="Z24" s="1310">
        <f t="shared" si="6"/>
        <v>0</v>
      </c>
      <c r="AA24" s="1310">
        <f t="shared" si="6"/>
        <v>0</v>
      </c>
      <c r="AB24" s="1310">
        <f t="shared" si="6"/>
        <v>0</v>
      </c>
      <c r="AC24" s="2389">
        <f t="shared" si="6"/>
        <v>0</v>
      </c>
      <c r="AD24" s="2325">
        <f>(AD5*AD17)*AD6</f>
        <v>0</v>
      </c>
      <c r="AE24" s="2326">
        <f>(AE5*AE17)*AE6</f>
        <v>0</v>
      </c>
      <c r="AF24" s="519"/>
      <c r="AH24" s="1304" t="s">
        <v>479</v>
      </c>
      <c r="AI24" s="1293"/>
      <c r="AJ24" s="1305">
        <f>SUM(G131:AC131)</f>
        <v>0</v>
      </c>
    </row>
    <row r="25" spans="1:36" ht="32" customHeight="1">
      <c r="A25" s="2981" t="s">
        <v>1547</v>
      </c>
      <c r="B25" s="2984"/>
      <c r="C25" s="2323"/>
      <c r="D25" s="2434"/>
      <c r="E25" s="2323"/>
      <c r="F25" s="2324"/>
      <c r="G25" s="2300">
        <f>ROUND(SUM(G111:G114),2)</f>
        <v>0</v>
      </c>
      <c r="H25" s="1312">
        <f>ROUND(SUM(H111:H114),2)</f>
        <v>0</v>
      </c>
      <c r="I25" s="1312">
        <f t="shared" ref="I25:AC25" si="7">ROUND(SUM(I111:I114),2)</f>
        <v>0</v>
      </c>
      <c r="J25" s="1312">
        <f t="shared" si="7"/>
        <v>0</v>
      </c>
      <c r="K25" s="1312">
        <f t="shared" si="7"/>
        <v>0</v>
      </c>
      <c r="L25" s="1312">
        <f t="shared" ref="L25" si="8">ROUND(SUM(L111:L114),2)</f>
        <v>0</v>
      </c>
      <c r="M25" s="1312">
        <f t="shared" si="7"/>
        <v>0</v>
      </c>
      <c r="N25" s="1312">
        <f t="shared" si="7"/>
        <v>0</v>
      </c>
      <c r="O25" s="1312">
        <f t="shared" si="7"/>
        <v>0</v>
      </c>
      <c r="P25" s="1312">
        <f t="shared" si="7"/>
        <v>0</v>
      </c>
      <c r="Q25" s="1312">
        <f t="shared" si="7"/>
        <v>0</v>
      </c>
      <c r="R25" s="1312">
        <f t="shared" si="7"/>
        <v>0</v>
      </c>
      <c r="S25" s="1312">
        <f t="shared" si="7"/>
        <v>0</v>
      </c>
      <c r="T25" s="1312">
        <f t="shared" si="7"/>
        <v>0</v>
      </c>
      <c r="U25" s="1312">
        <f t="shared" si="7"/>
        <v>0</v>
      </c>
      <c r="V25" s="1312">
        <f t="shared" si="7"/>
        <v>0</v>
      </c>
      <c r="W25" s="1312">
        <f t="shared" ref="W25" si="9">ROUND(SUM(W111:W114),2)</f>
        <v>0</v>
      </c>
      <c r="X25" s="1312">
        <f t="shared" ref="X25:Z25" si="10">ROUND(SUM(X111:X114),2)</f>
        <v>0</v>
      </c>
      <c r="Y25" s="1312">
        <f t="shared" si="10"/>
        <v>0</v>
      </c>
      <c r="Z25" s="1312">
        <f t="shared" si="10"/>
        <v>0</v>
      </c>
      <c r="AA25" s="1312">
        <f t="shared" ref="AA25:AB25" si="11">ROUND(SUM(AA111:AA114),2)</f>
        <v>0</v>
      </c>
      <c r="AB25" s="1312">
        <f t="shared" si="11"/>
        <v>0</v>
      </c>
      <c r="AC25" s="2391">
        <f t="shared" si="7"/>
        <v>0</v>
      </c>
      <c r="AD25" s="2407"/>
      <c r="AE25" s="2408"/>
      <c r="AF25" s="523" t="s">
        <v>480</v>
      </c>
      <c r="AH25" s="1304" t="s">
        <v>481</v>
      </c>
      <c r="AI25" s="1293"/>
      <c r="AJ25" s="1305">
        <f>SUM(G135:AE135)</f>
        <v>0</v>
      </c>
    </row>
    <row r="26" spans="1:36" ht="31" customHeight="1">
      <c r="A26" s="2981" t="s">
        <v>1527</v>
      </c>
      <c r="B26" s="2982"/>
      <c r="C26" s="2323"/>
      <c r="D26" s="2434"/>
      <c r="E26" s="2323"/>
      <c r="F26" s="2324"/>
      <c r="G26" s="2146"/>
      <c r="H26" s="1313"/>
      <c r="I26" s="1313"/>
      <c r="J26" s="1313"/>
      <c r="K26" s="1313"/>
      <c r="L26" s="1313"/>
      <c r="M26" s="1313"/>
      <c r="N26" s="1313"/>
      <c r="O26" s="1313"/>
      <c r="P26" s="1313"/>
      <c r="Q26" s="1313"/>
      <c r="R26" s="1313"/>
      <c r="S26" s="1313"/>
      <c r="T26" s="1313"/>
      <c r="U26" s="1313"/>
      <c r="V26" s="1313"/>
      <c r="W26" s="1313"/>
      <c r="X26" s="1313"/>
      <c r="Y26" s="1313"/>
      <c r="Z26" s="1313"/>
      <c r="AA26" s="1313"/>
      <c r="AB26" s="1313"/>
      <c r="AC26" s="2392"/>
      <c r="AD26" s="2407"/>
      <c r="AE26" s="2408"/>
      <c r="AF26" s="523" t="s">
        <v>482</v>
      </c>
      <c r="AH26" s="1304" t="s">
        <v>483</v>
      </c>
      <c r="AI26" s="1293"/>
      <c r="AJ26" s="1305">
        <f>SUM(G138:AE138)</f>
        <v>0</v>
      </c>
    </row>
    <row r="27" spans="1:36" ht="44" customHeight="1">
      <c r="A27" s="2981" t="s">
        <v>1532</v>
      </c>
      <c r="B27" s="2982"/>
      <c r="C27" s="2327"/>
      <c r="D27" s="2435"/>
      <c r="E27" s="2409"/>
      <c r="F27" s="2328"/>
      <c r="G27" s="2146"/>
      <c r="H27" s="1313"/>
      <c r="I27" s="1313"/>
      <c r="J27" s="1313"/>
      <c r="K27" s="1313"/>
      <c r="L27" s="1313"/>
      <c r="M27" s="1313"/>
      <c r="N27" s="1313"/>
      <c r="O27" s="1313"/>
      <c r="P27" s="1313"/>
      <c r="Q27" s="1313"/>
      <c r="R27" s="1313"/>
      <c r="S27" s="1313"/>
      <c r="T27" s="1313"/>
      <c r="U27" s="1313"/>
      <c r="V27" s="1313"/>
      <c r="W27" s="1313"/>
      <c r="X27" s="1313"/>
      <c r="Y27" s="1313"/>
      <c r="Z27" s="1313"/>
      <c r="AA27" s="1313"/>
      <c r="AB27" s="1313"/>
      <c r="AC27" s="2392"/>
      <c r="AD27" s="2409"/>
      <c r="AE27" s="2328"/>
      <c r="AF27" s="519" t="s">
        <v>484</v>
      </c>
      <c r="AH27" s="1304" t="s">
        <v>485</v>
      </c>
      <c r="AI27" s="1293"/>
      <c r="AJ27" s="1305">
        <f>SUM(G146:AE146)</f>
        <v>0</v>
      </c>
    </row>
    <row r="28" spans="1:36" ht="44" customHeight="1">
      <c r="A28" s="2981" t="s">
        <v>1531</v>
      </c>
      <c r="B28" s="2982"/>
      <c r="C28" s="2329"/>
      <c r="D28" s="2436"/>
      <c r="E28" s="2414"/>
      <c r="F28" s="2330"/>
      <c r="G28" s="2146"/>
      <c r="H28" s="1313"/>
      <c r="I28" s="1313"/>
      <c r="J28" s="1313"/>
      <c r="K28" s="1313"/>
      <c r="L28" s="1313"/>
      <c r="M28" s="1313"/>
      <c r="N28" s="1313"/>
      <c r="O28" s="1313"/>
      <c r="P28" s="1313"/>
      <c r="Q28" s="1313"/>
      <c r="R28" s="1313"/>
      <c r="S28" s="1313"/>
      <c r="T28" s="1313"/>
      <c r="U28" s="1313"/>
      <c r="V28" s="1313"/>
      <c r="W28" s="1313"/>
      <c r="X28" s="1313"/>
      <c r="Y28" s="1313"/>
      <c r="Z28" s="1313"/>
      <c r="AA28" s="1313"/>
      <c r="AB28" s="1313"/>
      <c r="AC28" s="2392"/>
      <c r="AD28" s="2410"/>
      <c r="AE28" s="2411"/>
      <c r="AF28" s="519" t="s">
        <v>484</v>
      </c>
      <c r="AH28" s="1304" t="s">
        <v>486</v>
      </c>
      <c r="AI28" s="1293"/>
      <c r="AJ28" s="1305">
        <f>SUM(G144:AE144)</f>
        <v>0</v>
      </c>
    </row>
    <row r="29" spans="1:36" ht="44" customHeight="1">
      <c r="A29" s="2981" t="s">
        <v>1530</v>
      </c>
      <c r="B29" s="2982"/>
      <c r="C29" s="2331"/>
      <c r="D29" s="2437"/>
      <c r="E29" s="2412"/>
      <c r="F29" s="2332"/>
      <c r="G29" s="2146"/>
      <c r="H29" s="1313"/>
      <c r="I29" s="1313"/>
      <c r="J29" s="1313"/>
      <c r="K29" s="1313"/>
      <c r="L29" s="1313"/>
      <c r="M29" s="1313"/>
      <c r="N29" s="1313"/>
      <c r="O29" s="1313"/>
      <c r="P29" s="1313"/>
      <c r="Q29" s="1313"/>
      <c r="R29" s="1313"/>
      <c r="S29" s="1313"/>
      <c r="T29" s="1313"/>
      <c r="U29" s="1313"/>
      <c r="V29" s="1313"/>
      <c r="W29" s="1313"/>
      <c r="X29" s="1313"/>
      <c r="Y29" s="1313"/>
      <c r="Z29" s="1313"/>
      <c r="AA29" s="1313"/>
      <c r="AB29" s="1313"/>
      <c r="AC29" s="2392"/>
      <c r="AD29" s="2412"/>
      <c r="AE29" s="2332"/>
      <c r="AF29" s="519" t="s">
        <v>487</v>
      </c>
      <c r="AH29" s="1304" t="s">
        <v>488</v>
      </c>
      <c r="AI29" s="1293"/>
      <c r="AJ29" s="1305">
        <f>SUM(G141:AE141)</f>
        <v>0</v>
      </c>
    </row>
    <row r="30" spans="1:36" ht="44" customHeight="1">
      <c r="A30" s="2981" t="s">
        <v>1529</v>
      </c>
      <c r="B30" s="2982"/>
      <c r="C30" s="2323"/>
      <c r="D30" s="2434"/>
      <c r="E30" s="2413"/>
      <c r="F30" s="2333"/>
      <c r="G30" s="2146"/>
      <c r="H30" s="2146"/>
      <c r="I30" s="2146"/>
      <c r="J30" s="1313"/>
      <c r="K30" s="1313"/>
      <c r="L30" s="1313"/>
      <c r="M30" s="1313"/>
      <c r="N30" s="1313"/>
      <c r="O30" s="1313"/>
      <c r="P30" s="1313"/>
      <c r="Q30" s="1313"/>
      <c r="R30" s="1313"/>
      <c r="S30" s="1313"/>
      <c r="T30" s="1313"/>
      <c r="U30" s="1313"/>
      <c r="V30" s="1313"/>
      <c r="W30" s="1313"/>
      <c r="X30" s="1313"/>
      <c r="Y30" s="1313"/>
      <c r="Z30" s="1313"/>
      <c r="AA30" s="1313"/>
      <c r="AB30" s="1313"/>
      <c r="AC30" s="2392"/>
      <c r="AD30" s="2413"/>
      <c r="AE30" s="2333"/>
      <c r="AF30" s="519" t="s">
        <v>487</v>
      </c>
      <c r="AH30" s="1314" t="s">
        <v>489</v>
      </c>
      <c r="AI30" s="1302" t="s">
        <v>442</v>
      </c>
      <c r="AJ30" s="1302">
        <f>budgetår</f>
        <v>2026</v>
      </c>
    </row>
    <row r="31" spans="1:36" ht="44" customHeight="1">
      <c r="A31" s="2981" t="s">
        <v>1529</v>
      </c>
      <c r="B31" s="2982"/>
      <c r="C31" s="2334"/>
      <c r="D31" s="2438"/>
      <c r="E31" s="2409"/>
      <c r="F31" s="2328"/>
      <c r="G31" s="2146"/>
      <c r="H31" s="1313"/>
      <c r="I31" s="1313"/>
      <c r="J31" s="1313"/>
      <c r="K31" s="1313"/>
      <c r="L31" s="1313"/>
      <c r="M31" s="1313"/>
      <c r="N31" s="1313"/>
      <c r="O31" s="1313"/>
      <c r="P31" s="1313"/>
      <c r="Q31" s="1313"/>
      <c r="R31" s="1313"/>
      <c r="S31" s="1313"/>
      <c r="T31" s="1313"/>
      <c r="U31" s="1313"/>
      <c r="V31" s="1313"/>
      <c r="W31" s="1313"/>
      <c r="X31" s="1313"/>
      <c r="Y31" s="1313"/>
      <c r="Z31" s="1313"/>
      <c r="AA31" s="1313"/>
      <c r="AB31" s="1313"/>
      <c r="AC31" s="2392"/>
      <c r="AD31" s="2409"/>
      <c r="AE31" s="2328"/>
      <c r="AF31" s="519" t="s">
        <v>487</v>
      </c>
      <c r="AH31" s="1315" t="s">
        <v>490</v>
      </c>
      <c r="AI31" s="1293"/>
      <c r="AJ31" s="1316">
        <f>SUM(C148:AE148)</f>
        <v>0</v>
      </c>
    </row>
    <row r="32" spans="1:36" ht="44" customHeight="1">
      <c r="A32" s="2981" t="s">
        <v>1528</v>
      </c>
      <c r="B32" s="2982"/>
      <c r="C32" s="2335"/>
      <c r="D32" s="2439"/>
      <c r="E32" s="2335"/>
      <c r="F32" s="2336"/>
      <c r="G32" s="2146"/>
      <c r="H32" s="1313"/>
      <c r="I32" s="1313"/>
      <c r="J32" s="1313"/>
      <c r="K32" s="1313"/>
      <c r="L32" s="1313"/>
      <c r="M32" s="1313"/>
      <c r="N32" s="1313"/>
      <c r="O32" s="1313"/>
      <c r="P32" s="1313"/>
      <c r="Q32" s="1313"/>
      <c r="R32" s="1313"/>
      <c r="S32" s="1313"/>
      <c r="T32" s="1313"/>
      <c r="U32" s="1313"/>
      <c r="V32" s="1313"/>
      <c r="W32" s="1313"/>
      <c r="X32" s="1313"/>
      <c r="Y32" s="1313"/>
      <c r="Z32" s="1313"/>
      <c r="AA32" s="1313"/>
      <c r="AB32" s="1313"/>
      <c r="AC32" s="2392"/>
      <c r="AD32" s="2335"/>
      <c r="AE32" s="2336"/>
      <c r="AF32" s="519"/>
      <c r="AH32" s="1315" t="s">
        <v>491</v>
      </c>
      <c r="AI32" s="1293"/>
      <c r="AJ32" s="1316">
        <f>SUM(C153:AE153)</f>
        <v>0</v>
      </c>
    </row>
    <row r="33" spans="1:36" ht="57" customHeight="1">
      <c r="A33" s="2981" t="s">
        <v>1533</v>
      </c>
      <c r="B33" s="2982"/>
      <c r="C33" s="2329"/>
      <c r="D33" s="2436"/>
      <c r="E33" s="2414"/>
      <c r="F33" s="2330"/>
      <c r="G33" s="2146"/>
      <c r="H33" s="1313"/>
      <c r="I33" s="1313"/>
      <c r="J33" s="1313"/>
      <c r="K33" s="1313"/>
      <c r="L33" s="1313"/>
      <c r="M33" s="1313"/>
      <c r="N33" s="1313"/>
      <c r="O33" s="1313"/>
      <c r="P33" s="1313"/>
      <c r="Q33" s="1313"/>
      <c r="R33" s="1313"/>
      <c r="S33" s="1313"/>
      <c r="T33" s="1313"/>
      <c r="U33" s="1313"/>
      <c r="V33" s="1313"/>
      <c r="W33" s="1313"/>
      <c r="X33" s="1313"/>
      <c r="Y33" s="1313"/>
      <c r="Z33" s="1313"/>
      <c r="AA33" s="1313"/>
      <c r="AB33" s="1313"/>
      <c r="AC33" s="2392"/>
      <c r="AD33" s="2414"/>
      <c r="AE33" s="2330"/>
      <c r="AF33" s="519" t="s">
        <v>487</v>
      </c>
      <c r="AH33" s="1315" t="s">
        <v>67</v>
      </c>
      <c r="AI33" s="1293"/>
      <c r="AJ33" s="1316">
        <f>SUM(C156:AE156)</f>
        <v>0</v>
      </c>
    </row>
    <row r="34" spans="1:36" ht="30" customHeight="1">
      <c r="A34" s="2981" t="s">
        <v>1534</v>
      </c>
      <c r="B34" s="2982"/>
      <c r="C34" s="2337"/>
      <c r="D34" s="2440"/>
      <c r="E34" s="2337"/>
      <c r="F34" s="2338"/>
      <c r="G34" s="2146"/>
      <c r="H34" s="1313"/>
      <c r="I34" s="1313"/>
      <c r="J34" s="1313"/>
      <c r="K34" s="1313"/>
      <c r="L34" s="1313"/>
      <c r="M34" s="1313"/>
      <c r="N34" s="1313"/>
      <c r="O34" s="1313"/>
      <c r="P34" s="1313"/>
      <c r="Q34" s="1313"/>
      <c r="R34" s="1313"/>
      <c r="S34" s="1313"/>
      <c r="T34" s="1313"/>
      <c r="U34" s="1313"/>
      <c r="V34" s="1313"/>
      <c r="W34" s="1313"/>
      <c r="X34" s="1313"/>
      <c r="Y34" s="1313"/>
      <c r="Z34" s="1313"/>
      <c r="AA34" s="1313"/>
      <c r="AB34" s="1313"/>
      <c r="AC34" s="2392"/>
      <c r="AD34" s="2407"/>
      <c r="AE34" s="2408"/>
      <c r="AF34" s="519" t="s">
        <v>480</v>
      </c>
      <c r="AH34" s="1315" t="s">
        <v>492</v>
      </c>
      <c r="AI34" s="1293"/>
      <c r="AJ34" s="1316">
        <f>SUM(C164:AE164)</f>
        <v>0</v>
      </c>
    </row>
    <row r="35" spans="1:36" ht="24" customHeight="1">
      <c r="A35" s="3023" t="s">
        <v>493</v>
      </c>
      <c r="B35" s="3024"/>
      <c r="C35" s="2339"/>
      <c r="D35" s="2441"/>
      <c r="E35" s="2339"/>
      <c r="F35" s="2340"/>
      <c r="G35" s="2301">
        <f t="shared" ref="G35:AC35" si="12">MAX(ROUND((IF(RIGHT(G5)="1",5200)+IF(OR(RIGHT(G5)="2",RIGHT(G5)="3"),7900))*G17/12*G19,2),0)</f>
        <v>0</v>
      </c>
      <c r="H35" s="524">
        <f t="shared" si="12"/>
        <v>0</v>
      </c>
      <c r="I35" s="524">
        <f t="shared" si="12"/>
        <v>0</v>
      </c>
      <c r="J35" s="524">
        <f t="shared" si="12"/>
        <v>0</v>
      </c>
      <c r="K35" s="524">
        <f t="shared" si="12"/>
        <v>0</v>
      </c>
      <c r="L35" s="524">
        <f t="shared" si="12"/>
        <v>0</v>
      </c>
      <c r="M35" s="524">
        <f t="shared" si="12"/>
        <v>0</v>
      </c>
      <c r="N35" s="524">
        <f t="shared" si="12"/>
        <v>0</v>
      </c>
      <c r="O35" s="524">
        <f t="shared" si="12"/>
        <v>0</v>
      </c>
      <c r="P35" s="524">
        <f t="shared" si="12"/>
        <v>0</v>
      </c>
      <c r="Q35" s="524">
        <f t="shared" si="12"/>
        <v>0</v>
      </c>
      <c r="R35" s="524">
        <f t="shared" si="12"/>
        <v>0</v>
      </c>
      <c r="S35" s="524">
        <f t="shared" si="12"/>
        <v>0</v>
      </c>
      <c r="T35" s="524">
        <f t="shared" si="12"/>
        <v>0</v>
      </c>
      <c r="U35" s="524">
        <f t="shared" si="12"/>
        <v>0</v>
      </c>
      <c r="V35" s="524">
        <f t="shared" si="12"/>
        <v>0</v>
      </c>
      <c r="W35" s="524">
        <f t="shared" si="12"/>
        <v>0</v>
      </c>
      <c r="X35" s="524">
        <f t="shared" si="12"/>
        <v>0</v>
      </c>
      <c r="Y35" s="524">
        <f t="shared" si="12"/>
        <v>0</v>
      </c>
      <c r="Z35" s="524">
        <f t="shared" si="12"/>
        <v>0</v>
      </c>
      <c r="AA35" s="524">
        <f t="shared" si="12"/>
        <v>0</v>
      </c>
      <c r="AB35" s="524">
        <f t="shared" si="12"/>
        <v>0</v>
      </c>
      <c r="AC35" s="2393">
        <f t="shared" si="12"/>
        <v>0</v>
      </c>
      <c r="AD35" s="2407"/>
      <c r="AE35" s="2408"/>
      <c r="AF35" s="519"/>
      <c r="AH35" s="1315" t="s">
        <v>494</v>
      </c>
      <c r="AI35" s="1293"/>
      <c r="AJ35" s="1316">
        <f>SUM(C166:AE166)</f>
        <v>0</v>
      </c>
    </row>
    <row r="36" spans="1:36" ht="24" customHeight="1">
      <c r="A36" s="3023" t="s">
        <v>495</v>
      </c>
      <c r="B36" s="3024"/>
      <c r="C36" s="2339"/>
      <c r="D36" s="2441"/>
      <c r="E36" s="2339"/>
      <c r="F36" s="2340"/>
      <c r="G36" s="2301">
        <f>ROUND(IF($G$5&lt;&gt;"",2800,0)*$G$19/12*$G$17,2)</f>
        <v>0</v>
      </c>
      <c r="H36" s="524">
        <f t="shared" ref="H36:AC36" si="13">ROUND(IF(H$5&lt;&gt;"",2800,0)*H$19/12*H$17,2)</f>
        <v>0</v>
      </c>
      <c r="I36" s="524">
        <f t="shared" si="13"/>
        <v>0</v>
      </c>
      <c r="J36" s="524">
        <f t="shared" si="13"/>
        <v>0</v>
      </c>
      <c r="K36" s="524">
        <f t="shared" si="13"/>
        <v>0</v>
      </c>
      <c r="L36" s="524">
        <f t="shared" si="13"/>
        <v>0</v>
      </c>
      <c r="M36" s="524">
        <f t="shared" si="13"/>
        <v>0</v>
      </c>
      <c r="N36" s="524">
        <f t="shared" si="13"/>
        <v>0</v>
      </c>
      <c r="O36" s="524">
        <f t="shared" si="13"/>
        <v>0</v>
      </c>
      <c r="P36" s="524">
        <f t="shared" si="13"/>
        <v>0</v>
      </c>
      <c r="Q36" s="524">
        <f t="shared" si="13"/>
        <v>0</v>
      </c>
      <c r="R36" s="524">
        <f t="shared" si="13"/>
        <v>0</v>
      </c>
      <c r="S36" s="524">
        <f t="shared" si="13"/>
        <v>0</v>
      </c>
      <c r="T36" s="524">
        <f t="shared" si="13"/>
        <v>0</v>
      </c>
      <c r="U36" s="524">
        <f t="shared" si="13"/>
        <v>0</v>
      </c>
      <c r="V36" s="524">
        <f t="shared" si="13"/>
        <v>0</v>
      </c>
      <c r="W36" s="524">
        <f t="shared" si="13"/>
        <v>0</v>
      </c>
      <c r="X36" s="524">
        <f t="shared" si="13"/>
        <v>0</v>
      </c>
      <c r="Y36" s="524">
        <f t="shared" si="13"/>
        <v>0</v>
      </c>
      <c r="Z36" s="524">
        <f t="shared" si="13"/>
        <v>0</v>
      </c>
      <c r="AA36" s="524">
        <f t="shared" si="13"/>
        <v>0</v>
      </c>
      <c r="AB36" s="524">
        <f t="shared" si="13"/>
        <v>0</v>
      </c>
      <c r="AC36" s="2393">
        <f t="shared" si="13"/>
        <v>0</v>
      </c>
      <c r="AD36" s="2407"/>
      <c r="AE36" s="2408"/>
      <c r="AF36" s="521"/>
      <c r="AH36" s="1315" t="s">
        <v>496</v>
      </c>
      <c r="AI36" s="1293"/>
      <c r="AJ36" s="1316">
        <f>SUM(C168:AE168)</f>
        <v>0</v>
      </c>
    </row>
    <row r="37" spans="1:36" ht="24" customHeight="1">
      <c r="A37" s="3023" t="s">
        <v>1467</v>
      </c>
      <c r="B37" s="3024"/>
      <c r="C37" s="2331"/>
      <c r="D37" s="2437"/>
      <c r="E37" s="2331"/>
      <c r="F37" s="2341"/>
      <c r="G37" s="2301">
        <f>ROUND(IF(G$5&lt;&gt;"",4100,0)*G$19/12*G$17,2)</f>
        <v>0</v>
      </c>
      <c r="H37" s="524">
        <f t="shared" ref="H37:AC37" si="14">ROUND(IF(H$5&lt;&gt;"",4100,0)*H$19/12*H$17,2)</f>
        <v>0</v>
      </c>
      <c r="I37" s="524">
        <f t="shared" si="14"/>
        <v>0</v>
      </c>
      <c r="J37" s="524">
        <f t="shared" si="14"/>
        <v>0</v>
      </c>
      <c r="K37" s="524">
        <f t="shared" si="14"/>
        <v>0</v>
      </c>
      <c r="L37" s="524">
        <f t="shared" si="14"/>
        <v>0</v>
      </c>
      <c r="M37" s="524">
        <f t="shared" si="14"/>
        <v>0</v>
      </c>
      <c r="N37" s="524">
        <f t="shared" si="14"/>
        <v>0</v>
      </c>
      <c r="O37" s="524">
        <f t="shared" si="14"/>
        <v>0</v>
      </c>
      <c r="P37" s="524">
        <f t="shared" si="14"/>
        <v>0</v>
      </c>
      <c r="Q37" s="524">
        <f t="shared" si="14"/>
        <v>0</v>
      </c>
      <c r="R37" s="524">
        <f t="shared" si="14"/>
        <v>0</v>
      </c>
      <c r="S37" s="524">
        <f t="shared" si="14"/>
        <v>0</v>
      </c>
      <c r="T37" s="524">
        <f t="shared" si="14"/>
        <v>0</v>
      </c>
      <c r="U37" s="524">
        <f t="shared" si="14"/>
        <v>0</v>
      </c>
      <c r="V37" s="524">
        <f t="shared" si="14"/>
        <v>0</v>
      </c>
      <c r="W37" s="524">
        <f t="shared" si="14"/>
        <v>0</v>
      </c>
      <c r="X37" s="524">
        <f t="shared" si="14"/>
        <v>0</v>
      </c>
      <c r="Y37" s="524">
        <f t="shared" si="14"/>
        <v>0</v>
      </c>
      <c r="Z37" s="524">
        <f t="shared" si="14"/>
        <v>0</v>
      </c>
      <c r="AA37" s="524">
        <f t="shared" si="14"/>
        <v>0</v>
      </c>
      <c r="AB37" s="524">
        <f t="shared" si="14"/>
        <v>0</v>
      </c>
      <c r="AC37" s="2393">
        <f t="shared" si="14"/>
        <v>0</v>
      </c>
      <c r="AD37" s="2407"/>
      <c r="AE37" s="2408"/>
      <c r="AF37" s="521"/>
      <c r="AH37" s="1315" t="s">
        <v>497</v>
      </c>
      <c r="AI37" s="1293"/>
      <c r="AJ37" s="1316">
        <f>SUM(C151:AC151)</f>
        <v>0</v>
      </c>
    </row>
    <row r="38" spans="1:36" ht="28" customHeight="1">
      <c r="A38" s="2981" t="s">
        <v>1553</v>
      </c>
      <c r="B38" s="2982"/>
      <c r="C38" s="2325">
        <f>ROUND((SUM(C26:C29)+SUM(C30:C34)*C19)/12*C17,2)+SUM(C35:C37)</f>
        <v>0</v>
      </c>
      <c r="D38" s="2389">
        <f>ROUND((SUM(D26:D29)+SUM(D30:D34)*D19)/12*D17,2)+SUM(D35:D37)</f>
        <v>0</v>
      </c>
      <c r="E38" s="2325">
        <f t="shared" ref="E38:AC38" si="15">((E27+E28+E26+E29+E32)*E17/12)+((E30+E31+E33+E34)*E17*E19/12)+E35+E36+E37+E25</f>
        <v>0</v>
      </c>
      <c r="F38" s="2326">
        <f t="shared" si="15"/>
        <v>0</v>
      </c>
      <c r="G38" s="2298">
        <f t="shared" si="15"/>
        <v>0</v>
      </c>
      <c r="H38" s="1310">
        <f t="shared" si="15"/>
        <v>0</v>
      </c>
      <c r="I38" s="1310">
        <f t="shared" si="15"/>
        <v>0</v>
      </c>
      <c r="J38" s="1310">
        <f t="shared" si="15"/>
        <v>0</v>
      </c>
      <c r="K38" s="1310">
        <f t="shared" si="15"/>
        <v>0</v>
      </c>
      <c r="L38" s="1310">
        <f t="shared" si="15"/>
        <v>0</v>
      </c>
      <c r="M38" s="1310">
        <f t="shared" si="15"/>
        <v>0</v>
      </c>
      <c r="N38" s="1310">
        <f t="shared" si="15"/>
        <v>0</v>
      </c>
      <c r="O38" s="1310">
        <f t="shared" si="15"/>
        <v>0</v>
      </c>
      <c r="P38" s="1310">
        <f t="shared" si="15"/>
        <v>0</v>
      </c>
      <c r="Q38" s="1310">
        <f t="shared" si="15"/>
        <v>0</v>
      </c>
      <c r="R38" s="1310">
        <f t="shared" si="15"/>
        <v>0</v>
      </c>
      <c r="S38" s="1310">
        <f t="shared" si="15"/>
        <v>0</v>
      </c>
      <c r="T38" s="1310">
        <f t="shared" si="15"/>
        <v>0</v>
      </c>
      <c r="U38" s="1310">
        <f t="shared" si="15"/>
        <v>0</v>
      </c>
      <c r="V38" s="1310">
        <f t="shared" si="15"/>
        <v>0</v>
      </c>
      <c r="W38" s="1310">
        <f t="shared" si="15"/>
        <v>0</v>
      </c>
      <c r="X38" s="1310">
        <f t="shared" si="15"/>
        <v>0</v>
      </c>
      <c r="Y38" s="1310">
        <f t="shared" si="15"/>
        <v>0</v>
      </c>
      <c r="Z38" s="1310">
        <f t="shared" si="15"/>
        <v>0</v>
      </c>
      <c r="AA38" s="1310">
        <f t="shared" si="15"/>
        <v>0</v>
      </c>
      <c r="AB38" s="1310">
        <f t="shared" si="15"/>
        <v>0</v>
      </c>
      <c r="AC38" s="2389">
        <f t="shared" si="15"/>
        <v>0</v>
      </c>
      <c r="AD38" s="2407"/>
      <c r="AE38" s="2408"/>
      <c r="AF38" s="519"/>
      <c r="AH38" s="1315" t="s">
        <v>498</v>
      </c>
      <c r="AI38" s="1293"/>
      <c r="AJ38" s="1316"/>
    </row>
    <row r="39" spans="1:36" ht="24" customHeight="1">
      <c r="A39" s="2983" t="s">
        <v>499</v>
      </c>
      <c r="B39" s="2984"/>
      <c r="C39" s="2342"/>
      <c r="D39" s="2442"/>
      <c r="E39" s="2223"/>
      <c r="F39" s="2249"/>
      <c r="G39" s="2138"/>
      <c r="H39" s="1299"/>
      <c r="I39" s="1299"/>
      <c r="J39" s="1299"/>
      <c r="K39" s="1299"/>
      <c r="L39" s="1299"/>
      <c r="M39" s="1299"/>
      <c r="N39" s="1299"/>
      <c r="O39" s="1299"/>
      <c r="P39" s="1299"/>
      <c r="Q39" s="1299"/>
      <c r="R39" s="1299"/>
      <c r="S39" s="1299"/>
      <c r="T39" s="1299"/>
      <c r="U39" s="1299"/>
      <c r="V39" s="1299"/>
      <c r="W39" s="1299"/>
      <c r="X39" s="1299"/>
      <c r="Y39" s="1299"/>
      <c r="Z39" s="1299"/>
      <c r="AA39" s="1299"/>
      <c r="AB39" s="1299"/>
      <c r="AC39" s="2384"/>
      <c r="AD39" s="2407"/>
      <c r="AE39" s="2408"/>
      <c r="AF39" s="521" t="s">
        <v>500</v>
      </c>
      <c r="AH39" s="1315" t="s">
        <v>501</v>
      </c>
      <c r="AI39" s="1293"/>
      <c r="AJ39" s="1316">
        <f>SUM(C162:AE162)</f>
        <v>0</v>
      </c>
    </row>
    <row r="40" spans="1:36" ht="24" customHeight="1">
      <c r="A40" s="2983" t="s">
        <v>502</v>
      </c>
      <c r="B40" s="2984"/>
      <c r="C40" s="2343"/>
      <c r="D40" s="2443"/>
      <c r="E40" s="2455"/>
      <c r="F40" s="2344"/>
      <c r="G40" s="2138"/>
      <c r="H40" s="1299"/>
      <c r="I40" s="1299"/>
      <c r="J40" s="1299"/>
      <c r="K40" s="1299"/>
      <c r="L40" s="1299"/>
      <c r="M40" s="1299"/>
      <c r="N40" s="1299"/>
      <c r="O40" s="1299"/>
      <c r="P40" s="1299"/>
      <c r="Q40" s="1299"/>
      <c r="R40" s="1299"/>
      <c r="S40" s="1299"/>
      <c r="T40" s="1299"/>
      <c r="U40" s="1299"/>
      <c r="V40" s="1299"/>
      <c r="W40" s="1299"/>
      <c r="X40" s="1299"/>
      <c r="Y40" s="1299"/>
      <c r="Z40" s="1299"/>
      <c r="AA40" s="1299"/>
      <c r="AB40" s="1299"/>
      <c r="AC40" s="2384"/>
      <c r="AD40" s="2407"/>
      <c r="AE40" s="2408"/>
      <c r="AF40" s="521"/>
      <c r="AH40" s="1315" t="s">
        <v>503</v>
      </c>
      <c r="AI40" s="1293"/>
      <c r="AJ40" s="1316">
        <f>SUM(C159:AE159)</f>
        <v>0</v>
      </c>
    </row>
    <row r="41" spans="1:36" ht="24" customHeight="1">
      <c r="A41" s="2983" t="s">
        <v>504</v>
      </c>
      <c r="B41" s="2984"/>
      <c r="C41" s="2345"/>
      <c r="D41" s="2444"/>
      <c r="E41" s="2455"/>
      <c r="F41" s="2344"/>
      <c r="G41" s="2138"/>
      <c r="H41" s="1299"/>
      <c r="I41" s="1299"/>
      <c r="J41" s="1299"/>
      <c r="K41" s="1299"/>
      <c r="L41" s="1299"/>
      <c r="M41" s="1299"/>
      <c r="N41" s="1299"/>
      <c r="O41" s="1299"/>
      <c r="P41" s="1299"/>
      <c r="Q41" s="1299"/>
      <c r="R41" s="1299"/>
      <c r="S41" s="1299"/>
      <c r="T41" s="1299"/>
      <c r="U41" s="1299"/>
      <c r="V41" s="1299"/>
      <c r="W41" s="1299"/>
      <c r="X41" s="1299"/>
      <c r="Y41" s="1299"/>
      <c r="Z41" s="1299"/>
      <c r="AA41" s="1299"/>
      <c r="AB41" s="1299"/>
      <c r="AC41" s="2384"/>
      <c r="AD41" s="2407"/>
      <c r="AE41" s="2408"/>
      <c r="AF41" s="521"/>
      <c r="AH41" s="1315" t="s">
        <v>505</v>
      </c>
      <c r="AI41" s="1293"/>
      <c r="AJ41" s="1316">
        <f>SUM(C161:AE161)</f>
        <v>0</v>
      </c>
    </row>
    <row r="42" spans="1:36" ht="31" customHeight="1">
      <c r="A42" s="2979" t="s">
        <v>1535</v>
      </c>
      <c r="B42" s="2980"/>
      <c r="C42" s="2345"/>
      <c r="D42" s="2444"/>
      <c r="E42" s="2455"/>
      <c r="F42" s="2344"/>
      <c r="G42" s="2138"/>
      <c r="H42" s="1299"/>
      <c r="I42" s="1299"/>
      <c r="J42" s="1299"/>
      <c r="K42" s="1299"/>
      <c r="L42" s="1299"/>
      <c r="M42" s="1299"/>
      <c r="N42" s="1299"/>
      <c r="O42" s="1299"/>
      <c r="P42" s="1299"/>
      <c r="Q42" s="1299"/>
      <c r="R42" s="1299"/>
      <c r="S42" s="1299"/>
      <c r="T42" s="1299"/>
      <c r="U42" s="1299"/>
      <c r="V42" s="1299"/>
      <c r="W42" s="1299"/>
      <c r="X42" s="1299"/>
      <c r="Y42" s="1299"/>
      <c r="Z42" s="1299"/>
      <c r="AA42" s="1299"/>
      <c r="AB42" s="1299"/>
      <c r="AC42" s="2384"/>
      <c r="AD42" s="2407"/>
      <c r="AE42" s="2408"/>
      <c r="AF42" s="521"/>
      <c r="AH42" s="1317" t="s">
        <v>506</v>
      </c>
      <c r="AI42" s="1302" t="s">
        <v>442</v>
      </c>
      <c r="AJ42" s="1302">
        <f>budgetår</f>
        <v>2026</v>
      </c>
    </row>
    <row r="43" spans="1:36" ht="45" customHeight="1">
      <c r="A43" s="2981" t="s">
        <v>1536</v>
      </c>
      <c r="B43" s="2982"/>
      <c r="C43" s="2337"/>
      <c r="D43" s="2440"/>
      <c r="E43" s="2337"/>
      <c r="F43" s="2338"/>
      <c r="G43" s="2146"/>
      <c r="H43" s="1313"/>
      <c r="I43" s="1313"/>
      <c r="J43" s="1313"/>
      <c r="K43" s="1313"/>
      <c r="L43" s="1313"/>
      <c r="M43" s="1313"/>
      <c r="N43" s="1313"/>
      <c r="O43" s="1313"/>
      <c r="P43" s="1313"/>
      <c r="Q43" s="1313"/>
      <c r="R43" s="1313"/>
      <c r="S43" s="1313"/>
      <c r="T43" s="1313"/>
      <c r="U43" s="1313"/>
      <c r="V43" s="1313"/>
      <c r="W43" s="1313"/>
      <c r="X43" s="1313"/>
      <c r="Y43" s="1313"/>
      <c r="Z43" s="1313"/>
      <c r="AA43" s="1313"/>
      <c r="AB43" s="1313"/>
      <c r="AC43" s="2392"/>
      <c r="AD43" s="2233"/>
      <c r="AE43" s="2268"/>
      <c r="AF43" s="519" t="s">
        <v>507</v>
      </c>
      <c r="AH43" s="1318" t="s">
        <v>508</v>
      </c>
      <c r="AI43" s="1293"/>
      <c r="AJ43" s="1319">
        <f>SUM(AD124:AE124)</f>
        <v>0</v>
      </c>
    </row>
    <row r="44" spans="1:36" ht="24" customHeight="1">
      <c r="A44" s="2983" t="s">
        <v>490</v>
      </c>
      <c r="B44" s="2984"/>
      <c r="C44" s="2346">
        <f t="shared" ref="C44:AC44" si="16">IF(C19&gt;0,Gr.liv,0)</f>
        <v>0</v>
      </c>
      <c r="D44" s="2394">
        <f t="shared" si="16"/>
        <v>0</v>
      </c>
      <c r="E44" s="2346">
        <f t="shared" si="16"/>
        <v>0</v>
      </c>
      <c r="F44" s="2347">
        <f t="shared" si="16"/>
        <v>0</v>
      </c>
      <c r="G44" s="2302">
        <f t="shared" si="16"/>
        <v>0</v>
      </c>
      <c r="H44" s="1320">
        <f t="shared" si="16"/>
        <v>0</v>
      </c>
      <c r="I44" s="1320">
        <f t="shared" si="16"/>
        <v>0</v>
      </c>
      <c r="J44" s="1320">
        <f t="shared" si="16"/>
        <v>0</v>
      </c>
      <c r="K44" s="1320">
        <f t="shared" si="16"/>
        <v>0</v>
      </c>
      <c r="L44" s="1320">
        <f t="shared" si="16"/>
        <v>0</v>
      </c>
      <c r="M44" s="1320">
        <f t="shared" si="16"/>
        <v>0</v>
      </c>
      <c r="N44" s="1320">
        <f t="shared" si="16"/>
        <v>0</v>
      </c>
      <c r="O44" s="1320">
        <f t="shared" si="16"/>
        <v>0</v>
      </c>
      <c r="P44" s="1320">
        <f t="shared" si="16"/>
        <v>0</v>
      </c>
      <c r="Q44" s="1320">
        <f t="shared" si="16"/>
        <v>0</v>
      </c>
      <c r="R44" s="1320">
        <f t="shared" si="16"/>
        <v>0</v>
      </c>
      <c r="S44" s="1320">
        <f t="shared" si="16"/>
        <v>0</v>
      </c>
      <c r="T44" s="1320">
        <f t="shared" si="16"/>
        <v>0</v>
      </c>
      <c r="U44" s="1320">
        <f t="shared" si="16"/>
        <v>0</v>
      </c>
      <c r="V44" s="1320">
        <f t="shared" si="16"/>
        <v>0</v>
      </c>
      <c r="W44" s="1320">
        <f t="shared" si="16"/>
        <v>0</v>
      </c>
      <c r="X44" s="1320">
        <f t="shared" si="16"/>
        <v>0</v>
      </c>
      <c r="Y44" s="1320">
        <f t="shared" si="16"/>
        <v>0</v>
      </c>
      <c r="Z44" s="1320">
        <f t="shared" si="16"/>
        <v>0</v>
      </c>
      <c r="AA44" s="1320">
        <f t="shared" si="16"/>
        <v>0</v>
      </c>
      <c r="AB44" s="1320">
        <f t="shared" si="16"/>
        <v>0</v>
      </c>
      <c r="AC44" s="2394">
        <f t="shared" si="16"/>
        <v>0</v>
      </c>
      <c r="AD44" s="2407"/>
      <c r="AE44" s="2408"/>
      <c r="AF44" s="519"/>
      <c r="AH44" s="1321" t="s">
        <v>509</v>
      </c>
      <c r="AI44" s="1322"/>
      <c r="AJ44" s="1323">
        <f>AH94</f>
        <v>0</v>
      </c>
    </row>
    <row r="45" spans="1:36" ht="24" customHeight="1">
      <c r="A45" s="2983" t="s">
        <v>510</v>
      </c>
      <c r="B45" s="2984"/>
      <c r="C45" s="2346">
        <f t="shared" ref="C45:AC45" si="17">C24+C38+C43+C44+(C42*40/12*19*C17)+IF(C14="JA",(C24+C38)*0.8%)</f>
        <v>0</v>
      </c>
      <c r="D45" s="2394">
        <f t="shared" si="17"/>
        <v>0</v>
      </c>
      <c r="E45" s="2346">
        <f t="shared" si="17"/>
        <v>0</v>
      </c>
      <c r="F45" s="2347">
        <f t="shared" si="17"/>
        <v>0</v>
      </c>
      <c r="G45" s="2302">
        <f t="shared" si="17"/>
        <v>0</v>
      </c>
      <c r="H45" s="1320">
        <f t="shared" si="17"/>
        <v>0</v>
      </c>
      <c r="I45" s="1320">
        <f t="shared" si="17"/>
        <v>0</v>
      </c>
      <c r="J45" s="1320">
        <f t="shared" si="17"/>
        <v>0</v>
      </c>
      <c r="K45" s="1320">
        <f t="shared" si="17"/>
        <v>0</v>
      </c>
      <c r="L45" s="1320">
        <f t="shared" si="17"/>
        <v>0</v>
      </c>
      <c r="M45" s="1320">
        <f t="shared" si="17"/>
        <v>0</v>
      </c>
      <c r="N45" s="1320">
        <f t="shared" si="17"/>
        <v>0</v>
      </c>
      <c r="O45" s="1320">
        <f t="shared" si="17"/>
        <v>0</v>
      </c>
      <c r="P45" s="1320">
        <f t="shared" si="17"/>
        <v>0</v>
      </c>
      <c r="Q45" s="1320">
        <f t="shared" si="17"/>
        <v>0</v>
      </c>
      <c r="R45" s="1320">
        <f t="shared" si="17"/>
        <v>0</v>
      </c>
      <c r="S45" s="1320">
        <f t="shared" si="17"/>
        <v>0</v>
      </c>
      <c r="T45" s="1320">
        <f t="shared" si="17"/>
        <v>0</v>
      </c>
      <c r="U45" s="1320">
        <f t="shared" si="17"/>
        <v>0</v>
      </c>
      <c r="V45" s="1320">
        <f t="shared" si="17"/>
        <v>0</v>
      </c>
      <c r="W45" s="1320">
        <f t="shared" si="17"/>
        <v>0</v>
      </c>
      <c r="X45" s="1320">
        <f t="shared" si="17"/>
        <v>0</v>
      </c>
      <c r="Y45" s="1320">
        <f t="shared" si="17"/>
        <v>0</v>
      </c>
      <c r="Z45" s="1320">
        <f t="shared" si="17"/>
        <v>0</v>
      </c>
      <c r="AA45" s="1320">
        <f t="shared" si="17"/>
        <v>0</v>
      </c>
      <c r="AB45" s="1320">
        <f t="shared" si="17"/>
        <v>0</v>
      </c>
      <c r="AC45" s="2394">
        <f t="shared" si="17"/>
        <v>0</v>
      </c>
      <c r="AD45" s="2346">
        <f>AD24+AD38+AD43+AD44+AD42</f>
        <v>0</v>
      </c>
      <c r="AE45" s="2347">
        <f>AE24+AE38+AE43+AE44+AE42</f>
        <v>0</v>
      </c>
      <c r="AF45" s="519"/>
      <c r="AH45" s="2992" t="s">
        <v>511</v>
      </c>
      <c r="AI45" s="2993"/>
      <c r="AJ45" s="1324">
        <f>SUM(AJ6:AJ12)+SUM(AJ17:AJ29)+SUM(AJ31:AJ41)+AJ43+AJ44</f>
        <v>0</v>
      </c>
    </row>
    <row r="46" spans="1:36" ht="24" customHeight="1">
      <c r="A46" s="2983" t="s">
        <v>512</v>
      </c>
      <c r="B46" s="2984"/>
      <c r="C46" s="2346">
        <f>C24+((C27+C26+C28+C29)*C17/12)+((C30+C31+C32+C33+C34)*C17*C19/12)+C25+C36+C37+IF(C14="JA",(C24+C38)*0.8%)</f>
        <v>0</v>
      </c>
      <c r="D46" s="2394">
        <f>D24+((D27+D26+D28+D29)*D17/12)+((D30+D31+D32+D33+D34)*D17*D19/12)+D25+D36+D37+IF(D14="JA",(D24+D38)*0.8%)</f>
        <v>0</v>
      </c>
      <c r="E46" s="2346">
        <f>E24+((E27+E26+E28+E29)*E17/12)+((E30+E31+E32+E33+E34)*E17*E19/12)+E25+E36+E37+IF(E14="JA",(E24+E38)*0.8%)</f>
        <v>0</v>
      </c>
      <c r="F46" s="2347">
        <f>F24+((F27+F26+F28+F29)*F17/12)+((F30+F31+F32+F33+F34)*F17*F19/12)+F25+F36+F37+IF(F14="JA",(F24+F38)*0.8%)</f>
        <v>0</v>
      </c>
      <c r="G46" s="2302">
        <f t="shared" ref="G46:AC46" si="18">G24-(G23*G19)+((G27+G26+G28+G29)*G17/12)+((G30+G31+G34)*G17*G19/12)+IF(G40="JA",G32*G17/12)+IF(G41="JA",G33*G17*G19/12)+G25+G36+G37+IF(G14="Ja",(G24+G38)*0.8%)</f>
        <v>0</v>
      </c>
      <c r="H46" s="1320">
        <f t="shared" si="18"/>
        <v>0</v>
      </c>
      <c r="I46" s="1320">
        <f t="shared" si="18"/>
        <v>0</v>
      </c>
      <c r="J46" s="1320">
        <f t="shared" si="18"/>
        <v>0</v>
      </c>
      <c r="K46" s="1320">
        <f t="shared" si="18"/>
        <v>0</v>
      </c>
      <c r="L46" s="1320">
        <f t="shared" si="18"/>
        <v>0</v>
      </c>
      <c r="M46" s="1320">
        <f t="shared" si="18"/>
        <v>0</v>
      </c>
      <c r="N46" s="1320">
        <f t="shared" si="18"/>
        <v>0</v>
      </c>
      <c r="O46" s="1320">
        <f t="shared" si="18"/>
        <v>0</v>
      </c>
      <c r="P46" s="1320">
        <f t="shared" si="18"/>
        <v>0</v>
      </c>
      <c r="Q46" s="1320">
        <f t="shared" si="18"/>
        <v>0</v>
      </c>
      <c r="R46" s="1320">
        <f t="shared" si="18"/>
        <v>0</v>
      </c>
      <c r="S46" s="1320">
        <f t="shared" si="18"/>
        <v>0</v>
      </c>
      <c r="T46" s="1320">
        <f t="shared" si="18"/>
        <v>0</v>
      </c>
      <c r="U46" s="1320">
        <f t="shared" si="18"/>
        <v>0</v>
      </c>
      <c r="V46" s="1320">
        <f t="shared" si="18"/>
        <v>0</v>
      </c>
      <c r="W46" s="1320">
        <f t="shared" si="18"/>
        <v>0</v>
      </c>
      <c r="X46" s="1320">
        <f t="shared" si="18"/>
        <v>0</v>
      </c>
      <c r="Y46" s="1320">
        <f t="shared" si="18"/>
        <v>0</v>
      </c>
      <c r="Z46" s="1320">
        <f t="shared" si="18"/>
        <v>0</v>
      </c>
      <c r="AA46" s="1320">
        <f t="shared" si="18"/>
        <v>0</v>
      </c>
      <c r="AB46" s="1320">
        <f t="shared" si="18"/>
        <v>0</v>
      </c>
      <c r="AC46" s="2394">
        <f t="shared" si="18"/>
        <v>0</v>
      </c>
      <c r="AD46" s="2346">
        <f>(AD27+AD28+AD29+AD30+AD31+AD33+AD43)*AD17/1924*AD6+AD24</f>
        <v>0</v>
      </c>
      <c r="AE46" s="2347">
        <f>(AE27+AE28+AE29+AE30+AE31+AE33+AE43)*AE17/1924*AE6+AE24</f>
        <v>0</v>
      </c>
      <c r="AF46" s="519"/>
      <c r="AH46" s="2992" t="s">
        <v>513</v>
      </c>
      <c r="AI46" s="2993"/>
      <c r="AJ46" s="1325">
        <f>AF67-AJ45+AJ44</f>
        <v>0</v>
      </c>
    </row>
    <row r="47" spans="1:36" ht="24" customHeight="1">
      <c r="A47" s="2983" t="s">
        <v>514</v>
      </c>
      <c r="B47" s="2984"/>
      <c r="C47" s="2325" t="str">
        <f>IF(C13="Ja",C24/C19*C20+((C27+C28+C29+C32)*C17/12)+((C30+C33+C31)*C17*C20/12),"0,00")</f>
        <v>0,00</v>
      </c>
      <c r="D47" s="2389" t="str">
        <f>IF(D13="Ja",D24/D19*D20+((D27+D28+D29+D32)*D17/12)+((D30+D33+D31)*D17*D20/12),"0,00")</f>
        <v>0,00</v>
      </c>
      <c r="E47" s="2325" t="str">
        <f>IF(E13="Ja",E24/E19*E20+((E27+E28+E29+E32)*E17/12)+((E30+E33+E31)*E17*E20/12),"0,00")</f>
        <v>0,00</v>
      </c>
      <c r="F47" s="2326" t="str">
        <f>IF(F13="Ja",F24/F19*F20+((F27+F28+F29+F32)*F17/12)+((F30+F33+F31)*F17*F20/12),"0,00")</f>
        <v>0,00</v>
      </c>
      <c r="G47" s="2298" t="str">
        <f t="shared" ref="G47:AC47" si="19">IF(G13="Ja",G22*G20+((G27+G26+G28+G29)*G17/12)+((G30+G31+G34)*G17*G20/12)+IF(G40="JA",G32*G17/12)+IF(G41="JA",G33*G17*G20/12)+(G25+G36+G37)/G19*G20,"0,00")</f>
        <v>0,00</v>
      </c>
      <c r="H47" s="1310" t="str">
        <f>IF(H13="Ja",H22*H20+((H27+H26+H28+H29)*H17/12)+((H30+H31+H34)*H17*H20/12)+IF(H40="JA",H32*H17/12)+IF(H41="JA",H33*H17*H20/12)+(H25+H36+H37)/H19*H20+IF(H14="ja",((H24+H38)/H19*H20)*0.8%),"0,00")</f>
        <v>0,00</v>
      </c>
      <c r="I47" s="1310" t="str">
        <f t="shared" ref="I47:AC47" si="20">IF(I13="Ja",I22*I20+((I27+I26+I28+I29)*I17/12)+((I30+I31+I34)*I17*I20/12)+IF(I40="JA",I32*I17/12)+IF(I41="JA",I33*I17*I20/12)+(I25+I36+I37)/I19*I20+IF(I14="ja",(I24+I38)/I19*I20*0.8%),"0,00")</f>
        <v>0,00</v>
      </c>
      <c r="J47" s="1310" t="str">
        <f t="shared" si="20"/>
        <v>0,00</v>
      </c>
      <c r="K47" s="1310" t="str">
        <f t="shared" si="20"/>
        <v>0,00</v>
      </c>
      <c r="L47" s="1310" t="str">
        <f t="shared" si="20"/>
        <v>0,00</v>
      </c>
      <c r="M47" s="1310" t="str">
        <f t="shared" si="20"/>
        <v>0,00</v>
      </c>
      <c r="N47" s="1310" t="str">
        <f t="shared" si="20"/>
        <v>0,00</v>
      </c>
      <c r="O47" s="1310" t="str">
        <f t="shared" si="20"/>
        <v>0,00</v>
      </c>
      <c r="P47" s="1310" t="str">
        <f t="shared" si="20"/>
        <v>0,00</v>
      </c>
      <c r="Q47" s="1310" t="str">
        <f t="shared" si="20"/>
        <v>0,00</v>
      </c>
      <c r="R47" s="1310" t="str">
        <f t="shared" si="20"/>
        <v>0,00</v>
      </c>
      <c r="S47" s="1310" t="str">
        <f t="shared" si="20"/>
        <v>0,00</v>
      </c>
      <c r="T47" s="1310" t="str">
        <f t="shared" si="20"/>
        <v>0,00</v>
      </c>
      <c r="U47" s="1310" t="str">
        <f t="shared" si="20"/>
        <v>0,00</v>
      </c>
      <c r="V47" s="1310" t="str">
        <f t="shared" si="20"/>
        <v>0,00</v>
      </c>
      <c r="W47" s="1310" t="str">
        <f t="shared" si="20"/>
        <v>0,00</v>
      </c>
      <c r="X47" s="1310" t="str">
        <f t="shared" si="20"/>
        <v>0,00</v>
      </c>
      <c r="Y47" s="1310" t="str">
        <f t="shared" si="20"/>
        <v>0,00</v>
      </c>
      <c r="Z47" s="1310" t="str">
        <f t="shared" si="20"/>
        <v>0,00</v>
      </c>
      <c r="AA47" s="1310" t="str">
        <f t="shared" si="20"/>
        <v>0,00</v>
      </c>
      <c r="AB47" s="1310" t="str">
        <f t="shared" si="20"/>
        <v>0,00</v>
      </c>
      <c r="AC47" s="2326" t="str">
        <f t="shared" si="20"/>
        <v>0,00</v>
      </c>
      <c r="AD47" s="2346"/>
      <c r="AE47" s="2347"/>
      <c r="AF47" s="519"/>
    </row>
    <row r="48" spans="1:36" ht="24" customHeight="1">
      <c r="A48" s="2983" t="s">
        <v>515</v>
      </c>
      <c r="B48" s="2984"/>
      <c r="C48" s="2346">
        <f>IF(C24&gt;0,IF(LEFT(C16)="L",C46*17.3%/3,(C46-VLOOKUP(RIGHT(C16,2)*1,skalalontabel,7,FALSE)/12*C17*C19)*18%/3),0)</f>
        <v>0</v>
      </c>
      <c r="D48" s="2394">
        <f>IF(D24&gt;0,IF(LEFT(D16)="L",D46*17.3%/3,(D46-VLOOKUP(RIGHT(D16,2)*1,skalalontabel,7,FALSE)/12*D17*D19)*18%/3),0)</f>
        <v>0</v>
      </c>
      <c r="E48" s="2346">
        <f>IF(E24&gt;0,IF(LEFT(E16)="L",E46*17.3%/3,(E46-VLOOKUP(RIGHT(E16,2)*1,skalalontabel,7,FALSE)/12*E17*E19)*18%/3),0)</f>
        <v>0</v>
      </c>
      <c r="F48" s="2347">
        <f>IF(F24&gt;0,IF(LEFT(F16)="L",F46*17.3%/3,(F46-VLOOKUP(RIGHT(F16,2)*1,skalalontabel,7,FALSE)/12*F17*F19)*18%/3),0)</f>
        <v>0</v>
      </c>
      <c r="G48" s="2302">
        <f t="shared" ref="G48:AC48" si="21">IF(G24&gt;0,IF(LEFT(G16)="L",G46*17.3%/3,(G46-(G22*G19)-(G25/G19))*18%/3),0)</f>
        <v>0</v>
      </c>
      <c r="H48" s="1320">
        <f t="shared" si="21"/>
        <v>0</v>
      </c>
      <c r="I48" s="1320">
        <f t="shared" si="21"/>
        <v>0</v>
      </c>
      <c r="J48" s="1320">
        <f t="shared" si="21"/>
        <v>0</v>
      </c>
      <c r="K48" s="1320">
        <f t="shared" si="21"/>
        <v>0</v>
      </c>
      <c r="L48" s="1320">
        <f t="shared" si="21"/>
        <v>0</v>
      </c>
      <c r="M48" s="1320">
        <f t="shared" si="21"/>
        <v>0</v>
      </c>
      <c r="N48" s="1320">
        <f t="shared" si="21"/>
        <v>0</v>
      </c>
      <c r="O48" s="1320">
        <f t="shared" si="21"/>
        <v>0</v>
      </c>
      <c r="P48" s="1320">
        <f t="shared" si="21"/>
        <v>0</v>
      </c>
      <c r="Q48" s="1320">
        <f t="shared" si="21"/>
        <v>0</v>
      </c>
      <c r="R48" s="1320">
        <f t="shared" si="21"/>
        <v>0</v>
      </c>
      <c r="S48" s="1320">
        <f t="shared" si="21"/>
        <v>0</v>
      </c>
      <c r="T48" s="1320">
        <f t="shared" si="21"/>
        <v>0</v>
      </c>
      <c r="U48" s="1320">
        <f t="shared" si="21"/>
        <v>0</v>
      </c>
      <c r="V48" s="1320">
        <f t="shared" si="21"/>
        <v>0</v>
      </c>
      <c r="W48" s="1320">
        <f t="shared" si="21"/>
        <v>0</v>
      </c>
      <c r="X48" s="1320">
        <f t="shared" si="21"/>
        <v>0</v>
      </c>
      <c r="Y48" s="1320">
        <f t="shared" si="21"/>
        <v>0</v>
      </c>
      <c r="Z48" s="1320">
        <f t="shared" si="21"/>
        <v>0</v>
      </c>
      <c r="AA48" s="1320">
        <f t="shared" si="21"/>
        <v>0</v>
      </c>
      <c r="AB48" s="1320">
        <f t="shared" si="21"/>
        <v>0</v>
      </c>
      <c r="AC48" s="2394">
        <f t="shared" si="21"/>
        <v>0</v>
      </c>
      <c r="AD48" s="2346">
        <f>IF(AD$16="L",AD$46*17.3%/3,0)</f>
        <v>0</v>
      </c>
      <c r="AE48" s="2347">
        <f>IF(AE$16="L",AE$46*17.3%/3,0)</f>
        <v>0</v>
      </c>
      <c r="AF48" s="519" t="s">
        <v>516</v>
      </c>
    </row>
    <row r="49" spans="1:36" ht="24" customHeight="1">
      <c r="A49" s="2983" t="s">
        <v>517</v>
      </c>
      <c r="B49" s="2984"/>
      <c r="C49" s="2346">
        <f>IF(C20&gt;0,IF(LEFT(C16)="L",C47*17.3%/3-C48,(C47-VLOOKUP(RIGHT(C16,2)*1,skalalontabel,7,FALSE)/12*C17)*18%/3-C48),0)</f>
        <v>0</v>
      </c>
      <c r="D49" s="2394">
        <f>IF(D20&gt;0,IF(LEFT(D16)="L",D47*17.3%/3-D48,(D47-VLOOKUP(RIGHT(D16,2)*1,skalalontabel,7,FALSE)/12*D17)*18%/3-D48),0)</f>
        <v>0</v>
      </c>
      <c r="E49" s="2346">
        <f>IF(E20&gt;0,IF(LEFT(E16)="L",E47*17.3%/3-E48,(E47-VLOOKUP(RIGHT(E16,2)*1,skalalontabel,7,FALSE)/12*E17)*18%/3-E48),0)</f>
        <v>0</v>
      </c>
      <c r="F49" s="2347">
        <f>IF(F20&gt;0,IF(LEFT(F16)="L",F47*17.3%/3-F48,(F47-VLOOKUP(RIGHT(F16,2)*1,skalalontabel,7,FALSE)/12*F17)*18%/3-F48),0)</f>
        <v>0</v>
      </c>
      <c r="G49" s="2302">
        <f t="shared" ref="G49:AC49" si="22">IF(G13="Ja",IF(LEFT(G16)="L",G47*17.3%/3-G48,(G47-(G22*G20)-(G25/G19))*18%/3-G48),0)</f>
        <v>0</v>
      </c>
      <c r="H49" s="1320">
        <f t="shared" si="22"/>
        <v>0</v>
      </c>
      <c r="I49" s="1320">
        <f t="shared" si="22"/>
        <v>0</v>
      </c>
      <c r="J49" s="1320">
        <f t="shared" si="22"/>
        <v>0</v>
      </c>
      <c r="K49" s="1320">
        <f t="shared" si="22"/>
        <v>0</v>
      </c>
      <c r="L49" s="1320">
        <f t="shared" si="22"/>
        <v>0</v>
      </c>
      <c r="M49" s="1320">
        <f t="shared" si="22"/>
        <v>0</v>
      </c>
      <c r="N49" s="1320">
        <f t="shared" si="22"/>
        <v>0</v>
      </c>
      <c r="O49" s="1320">
        <f t="shared" si="22"/>
        <v>0</v>
      </c>
      <c r="P49" s="1320">
        <f t="shared" si="22"/>
        <v>0</v>
      </c>
      <c r="Q49" s="1320">
        <f t="shared" si="22"/>
        <v>0</v>
      </c>
      <c r="R49" s="1320">
        <f t="shared" si="22"/>
        <v>0</v>
      </c>
      <c r="S49" s="1320">
        <f t="shared" si="22"/>
        <v>0</v>
      </c>
      <c r="T49" s="1320">
        <f t="shared" si="22"/>
        <v>0</v>
      </c>
      <c r="U49" s="1320">
        <f t="shared" si="22"/>
        <v>0</v>
      </c>
      <c r="V49" s="1320">
        <f t="shared" si="22"/>
        <v>0</v>
      </c>
      <c r="W49" s="1320">
        <f t="shared" si="22"/>
        <v>0</v>
      </c>
      <c r="X49" s="1320">
        <f t="shared" si="22"/>
        <v>0</v>
      </c>
      <c r="Y49" s="1320">
        <f t="shared" si="22"/>
        <v>0</v>
      </c>
      <c r="Z49" s="1320">
        <f t="shared" si="22"/>
        <v>0</v>
      </c>
      <c r="AA49" s="1320">
        <f t="shared" si="22"/>
        <v>0</v>
      </c>
      <c r="AB49" s="1320">
        <f t="shared" si="22"/>
        <v>0</v>
      </c>
      <c r="AC49" s="2394">
        <f t="shared" si="22"/>
        <v>0</v>
      </c>
      <c r="AD49" s="2346"/>
      <c r="AE49" s="2347"/>
      <c r="AF49" s="519"/>
    </row>
    <row r="50" spans="1:36" ht="24" customHeight="1">
      <c r="A50" s="2983" t="s">
        <v>518</v>
      </c>
      <c r="B50" s="2984"/>
      <c r="C50" s="2346">
        <f>SUM(C45,C48+C49)</f>
        <v>0</v>
      </c>
      <c r="D50" s="2394">
        <f>SUM(D45,D48+D49)</f>
        <v>0</v>
      </c>
      <c r="E50" s="2346">
        <f>SUM(E45,E48+E49)</f>
        <v>0</v>
      </c>
      <c r="F50" s="2347">
        <f>SUM(F45,F48+F49)</f>
        <v>0</v>
      </c>
      <c r="G50" s="2302">
        <f t="shared" ref="G50" si="23">SUM(G45,G48+G49)</f>
        <v>0</v>
      </c>
      <c r="H50" s="1320">
        <f t="shared" ref="H50:I50" si="24">SUM(H45,H48+H49)</f>
        <v>0</v>
      </c>
      <c r="I50" s="1320">
        <f t="shared" si="24"/>
        <v>0</v>
      </c>
      <c r="J50" s="1320">
        <f t="shared" ref="J50:K50" si="25">SUM(J45,J48+J49)</f>
        <v>0</v>
      </c>
      <c r="K50" s="1320">
        <f t="shared" si="25"/>
        <v>0</v>
      </c>
      <c r="L50" s="1320">
        <f t="shared" ref="L50:AC50" si="26">SUM(L45,L48+L49)</f>
        <v>0</v>
      </c>
      <c r="M50" s="1320">
        <f t="shared" si="26"/>
        <v>0</v>
      </c>
      <c r="N50" s="1320">
        <f t="shared" ref="N50:Q50" si="27">SUM(N45,N48+N49)</f>
        <v>0</v>
      </c>
      <c r="O50" s="1320">
        <f t="shared" si="27"/>
        <v>0</v>
      </c>
      <c r="P50" s="1320">
        <f t="shared" si="27"/>
        <v>0</v>
      </c>
      <c r="Q50" s="1320">
        <f t="shared" si="27"/>
        <v>0</v>
      </c>
      <c r="R50" s="1320">
        <f t="shared" si="26"/>
        <v>0</v>
      </c>
      <c r="S50" s="1320">
        <f t="shared" si="26"/>
        <v>0</v>
      </c>
      <c r="T50" s="1320">
        <f t="shared" si="26"/>
        <v>0</v>
      </c>
      <c r="U50" s="1320">
        <f t="shared" ref="U50:W50" si="28">SUM(U45,U48+U49)</f>
        <v>0</v>
      </c>
      <c r="V50" s="1320">
        <f t="shared" si="28"/>
        <v>0</v>
      </c>
      <c r="W50" s="1320">
        <f t="shared" si="28"/>
        <v>0</v>
      </c>
      <c r="X50" s="1320">
        <f t="shared" si="26"/>
        <v>0</v>
      </c>
      <c r="Y50" s="1320">
        <f t="shared" si="26"/>
        <v>0</v>
      </c>
      <c r="Z50" s="1320">
        <f t="shared" si="26"/>
        <v>0</v>
      </c>
      <c r="AA50" s="1320">
        <f t="shared" ref="AA50:AB50" si="29">SUM(AA45,AA48+AA49)</f>
        <v>0</v>
      </c>
      <c r="AB50" s="1320">
        <f t="shared" si="29"/>
        <v>0</v>
      </c>
      <c r="AC50" s="2394">
        <f t="shared" si="26"/>
        <v>0</v>
      </c>
      <c r="AD50" s="2346">
        <f t="shared" ref="AD50" si="30">SUM(AD45,AD48)</f>
        <v>0</v>
      </c>
      <c r="AE50" s="2347">
        <f>SUM(AE45,AE48)</f>
        <v>0</v>
      </c>
      <c r="AF50" s="519"/>
    </row>
    <row r="51" spans="1:36" ht="24" customHeight="1">
      <c r="A51" s="2983" t="s">
        <v>519</v>
      </c>
      <c r="B51" s="2984"/>
      <c r="C51" s="2346">
        <f t="shared" ref="C51:AE51" si="31">IF(OR(LEFT(C16)="P",LEFT(C16)="E"),VLOOKUP(VALUE(MID(C16,2,2)),skalalontabel,7,0)*C17/12*15%*MIN(1,C19),0)</f>
        <v>0</v>
      </c>
      <c r="D51" s="2394">
        <f t="shared" si="31"/>
        <v>0</v>
      </c>
      <c r="E51" s="2346">
        <f t="shared" si="31"/>
        <v>0</v>
      </c>
      <c r="F51" s="2347">
        <f t="shared" si="31"/>
        <v>0</v>
      </c>
      <c r="G51" s="2302">
        <f t="shared" si="31"/>
        <v>0</v>
      </c>
      <c r="H51" s="1320">
        <f t="shared" si="31"/>
        <v>0</v>
      </c>
      <c r="I51" s="1320">
        <f t="shared" si="31"/>
        <v>0</v>
      </c>
      <c r="J51" s="1320">
        <f t="shared" si="31"/>
        <v>0</v>
      </c>
      <c r="K51" s="1320">
        <f t="shared" si="31"/>
        <v>0</v>
      </c>
      <c r="L51" s="1320">
        <f t="shared" si="31"/>
        <v>0</v>
      </c>
      <c r="M51" s="1320">
        <f t="shared" si="31"/>
        <v>0</v>
      </c>
      <c r="N51" s="1320">
        <f t="shared" si="31"/>
        <v>5752.8546333632476</v>
      </c>
      <c r="O51" s="1320">
        <f t="shared" si="31"/>
        <v>0</v>
      </c>
      <c r="P51" s="1320">
        <f t="shared" si="31"/>
        <v>0</v>
      </c>
      <c r="Q51" s="1320">
        <f t="shared" si="31"/>
        <v>0</v>
      </c>
      <c r="R51" s="1320">
        <f t="shared" si="31"/>
        <v>0</v>
      </c>
      <c r="S51" s="1320">
        <f t="shared" si="31"/>
        <v>0</v>
      </c>
      <c r="T51" s="1320">
        <f t="shared" si="31"/>
        <v>0</v>
      </c>
      <c r="U51" s="1320">
        <f t="shared" si="31"/>
        <v>0</v>
      </c>
      <c r="V51" s="1320">
        <f t="shared" si="31"/>
        <v>0</v>
      </c>
      <c r="W51" s="1320">
        <f t="shared" si="31"/>
        <v>0</v>
      </c>
      <c r="X51" s="1320">
        <f t="shared" si="31"/>
        <v>0</v>
      </c>
      <c r="Y51" s="1320">
        <f t="shared" si="31"/>
        <v>0</v>
      </c>
      <c r="Z51" s="1320">
        <f t="shared" si="31"/>
        <v>0</v>
      </c>
      <c r="AA51" s="1320">
        <f t="shared" si="31"/>
        <v>0</v>
      </c>
      <c r="AB51" s="1320">
        <f t="shared" si="31"/>
        <v>0</v>
      </c>
      <c r="AC51" s="2394">
        <f t="shared" si="31"/>
        <v>0</v>
      </c>
      <c r="AD51" s="2346">
        <f t="shared" si="31"/>
        <v>0</v>
      </c>
      <c r="AE51" s="2347">
        <f t="shared" si="31"/>
        <v>0</v>
      </c>
      <c r="AF51" s="519" t="s">
        <v>520</v>
      </c>
    </row>
    <row r="52" spans="1:36" ht="24" customHeight="1">
      <c r="A52" s="2983" t="s">
        <v>521</v>
      </c>
      <c r="B52" s="2984"/>
      <c r="C52" s="2325" t="str">
        <f t="shared" ref="C52:AE52" si="32">IF(C13="Ja",C51/C19*C20-C51,"0,00")</f>
        <v>0,00</v>
      </c>
      <c r="D52" s="2389" t="str">
        <f t="shared" si="32"/>
        <v>0,00</v>
      </c>
      <c r="E52" s="2325" t="str">
        <f t="shared" si="32"/>
        <v>0,00</v>
      </c>
      <c r="F52" s="2326" t="str">
        <f t="shared" si="32"/>
        <v>0,00</v>
      </c>
      <c r="G52" s="2298" t="str">
        <f t="shared" si="32"/>
        <v>0,00</v>
      </c>
      <c r="H52" s="1310" t="str">
        <f t="shared" si="32"/>
        <v>0,00</v>
      </c>
      <c r="I52" s="1310" t="str">
        <f t="shared" si="32"/>
        <v>0,00</v>
      </c>
      <c r="J52" s="1310" t="str">
        <f t="shared" si="32"/>
        <v>0,00</v>
      </c>
      <c r="K52" s="1310" t="str">
        <f t="shared" si="32"/>
        <v>0,00</v>
      </c>
      <c r="L52" s="1310" t="str">
        <f t="shared" si="32"/>
        <v>0,00</v>
      </c>
      <c r="M52" s="1310" t="str">
        <f t="shared" si="32"/>
        <v>0,00</v>
      </c>
      <c r="N52" s="1310" t="str">
        <f t="shared" si="32"/>
        <v>0,00</v>
      </c>
      <c r="O52" s="1310" t="str">
        <f t="shared" si="32"/>
        <v>0,00</v>
      </c>
      <c r="P52" s="1310" t="str">
        <f t="shared" si="32"/>
        <v>0,00</v>
      </c>
      <c r="Q52" s="1310" t="str">
        <f t="shared" si="32"/>
        <v>0,00</v>
      </c>
      <c r="R52" s="1310" t="str">
        <f t="shared" si="32"/>
        <v>0,00</v>
      </c>
      <c r="S52" s="1310" t="str">
        <f t="shared" si="32"/>
        <v>0,00</v>
      </c>
      <c r="T52" s="1310" t="str">
        <f t="shared" si="32"/>
        <v>0,00</v>
      </c>
      <c r="U52" s="1310" t="str">
        <f t="shared" si="32"/>
        <v>0,00</v>
      </c>
      <c r="V52" s="1310" t="str">
        <f t="shared" si="32"/>
        <v>0,00</v>
      </c>
      <c r="W52" s="1310" t="str">
        <f t="shared" si="32"/>
        <v>0,00</v>
      </c>
      <c r="X52" s="1310" t="str">
        <f t="shared" si="32"/>
        <v>0,00</v>
      </c>
      <c r="Y52" s="1310" t="str">
        <f t="shared" si="32"/>
        <v>0,00</v>
      </c>
      <c r="Z52" s="1310" t="str">
        <f t="shared" si="32"/>
        <v>0,00</v>
      </c>
      <c r="AA52" s="1310" t="str">
        <f t="shared" si="32"/>
        <v>0,00</v>
      </c>
      <c r="AB52" s="1310" t="str">
        <f t="shared" si="32"/>
        <v>0,00</v>
      </c>
      <c r="AC52" s="2389" t="str">
        <f t="shared" si="32"/>
        <v>0,00</v>
      </c>
      <c r="AD52" s="2325" t="str">
        <f t="shared" si="32"/>
        <v>0,00</v>
      </c>
      <c r="AE52" s="2326" t="str">
        <f t="shared" si="32"/>
        <v>0,00</v>
      </c>
      <c r="AF52" s="519"/>
    </row>
    <row r="53" spans="1:36" ht="24" customHeight="1">
      <c r="A53" s="2983" t="s">
        <v>522</v>
      </c>
      <c r="B53" s="2984"/>
      <c r="C53" s="2346">
        <f>(C48+C49)*3</f>
        <v>0</v>
      </c>
      <c r="D53" s="2394">
        <f>(D48+D49)*3</f>
        <v>0</v>
      </c>
      <c r="E53" s="2346">
        <f>(E48+E49)*3</f>
        <v>0</v>
      </c>
      <c r="F53" s="2347">
        <f>(F48+F49)*3</f>
        <v>0</v>
      </c>
      <c r="G53" s="2302">
        <f t="shared" ref="G53" si="33">(G48+G49)*3</f>
        <v>0</v>
      </c>
      <c r="H53" s="1320">
        <f t="shared" ref="H53:I53" si="34">(H48+H49)*3</f>
        <v>0</v>
      </c>
      <c r="I53" s="1320">
        <f t="shared" si="34"/>
        <v>0</v>
      </c>
      <c r="J53" s="1320">
        <f t="shared" ref="J53:K53" si="35">(J48+J49)*3</f>
        <v>0</v>
      </c>
      <c r="K53" s="1320">
        <f t="shared" si="35"/>
        <v>0</v>
      </c>
      <c r="L53" s="1320">
        <f t="shared" ref="L53:AC53" si="36">(L48+L49)*3</f>
        <v>0</v>
      </c>
      <c r="M53" s="1320">
        <f t="shared" si="36"/>
        <v>0</v>
      </c>
      <c r="N53" s="1320">
        <f t="shared" ref="N53:Q53" si="37">(N48+N49)*3</f>
        <v>0</v>
      </c>
      <c r="O53" s="1320">
        <f t="shared" si="37"/>
        <v>0</v>
      </c>
      <c r="P53" s="1320">
        <f t="shared" si="37"/>
        <v>0</v>
      </c>
      <c r="Q53" s="1320">
        <f t="shared" si="37"/>
        <v>0</v>
      </c>
      <c r="R53" s="1320">
        <f t="shared" si="36"/>
        <v>0</v>
      </c>
      <c r="S53" s="1320">
        <f t="shared" si="36"/>
        <v>0</v>
      </c>
      <c r="T53" s="1320">
        <f t="shared" si="36"/>
        <v>0</v>
      </c>
      <c r="U53" s="1320">
        <f t="shared" ref="U53:W53" si="38">(U48+U49)*3</f>
        <v>0</v>
      </c>
      <c r="V53" s="1320">
        <f t="shared" si="38"/>
        <v>0</v>
      </c>
      <c r="W53" s="1320">
        <f t="shared" si="38"/>
        <v>0</v>
      </c>
      <c r="X53" s="1320">
        <f t="shared" si="36"/>
        <v>0</v>
      </c>
      <c r="Y53" s="1320">
        <f t="shared" si="36"/>
        <v>0</v>
      </c>
      <c r="Z53" s="1320">
        <f t="shared" si="36"/>
        <v>0</v>
      </c>
      <c r="AA53" s="1320">
        <f t="shared" ref="AA53:AB53" si="39">(AA48+AA49)*3</f>
        <v>0</v>
      </c>
      <c r="AB53" s="1320">
        <f t="shared" si="39"/>
        <v>0</v>
      </c>
      <c r="AC53" s="2394">
        <f t="shared" si="36"/>
        <v>0</v>
      </c>
      <c r="AD53" s="2346">
        <f>AD48*3</f>
        <v>0</v>
      </c>
      <c r="AE53" s="2347">
        <f>AE48*3</f>
        <v>0</v>
      </c>
      <c r="AF53" s="519"/>
    </row>
    <row r="54" spans="1:36" ht="24" customHeight="1" thickBot="1">
      <c r="A54" s="2983" t="s">
        <v>523</v>
      </c>
      <c r="B54" s="2984"/>
      <c r="C54" s="2348">
        <f t="shared" ref="C54:AC54" si="40">ATP/3*((C19&gt;=9/37)+(C19&gt;=18/37)+(C19&gt;=27/37))</f>
        <v>0</v>
      </c>
      <c r="D54" s="2395">
        <f t="shared" si="40"/>
        <v>0</v>
      </c>
      <c r="E54" s="2348">
        <f t="shared" si="40"/>
        <v>0</v>
      </c>
      <c r="F54" s="2349">
        <f t="shared" si="40"/>
        <v>0</v>
      </c>
      <c r="G54" s="2303">
        <f t="shared" si="40"/>
        <v>0</v>
      </c>
      <c r="H54" s="1326">
        <f t="shared" si="40"/>
        <v>0</v>
      </c>
      <c r="I54" s="1326">
        <f t="shared" si="40"/>
        <v>0</v>
      </c>
      <c r="J54" s="1326">
        <f t="shared" si="40"/>
        <v>0</v>
      </c>
      <c r="K54" s="1326">
        <f t="shared" si="40"/>
        <v>0</v>
      </c>
      <c r="L54" s="1326">
        <f t="shared" si="40"/>
        <v>0</v>
      </c>
      <c r="M54" s="1326">
        <f t="shared" si="40"/>
        <v>0</v>
      </c>
      <c r="N54" s="1326">
        <f t="shared" si="40"/>
        <v>0</v>
      </c>
      <c r="O54" s="1326">
        <f t="shared" si="40"/>
        <v>0</v>
      </c>
      <c r="P54" s="1326">
        <f t="shared" si="40"/>
        <v>0</v>
      </c>
      <c r="Q54" s="1326">
        <f t="shared" si="40"/>
        <v>0</v>
      </c>
      <c r="R54" s="1326">
        <f t="shared" si="40"/>
        <v>0</v>
      </c>
      <c r="S54" s="1326">
        <f t="shared" si="40"/>
        <v>0</v>
      </c>
      <c r="T54" s="1326">
        <f t="shared" si="40"/>
        <v>0</v>
      </c>
      <c r="U54" s="1326">
        <f t="shared" si="40"/>
        <v>0</v>
      </c>
      <c r="V54" s="1326">
        <f t="shared" si="40"/>
        <v>0</v>
      </c>
      <c r="W54" s="1326">
        <f t="shared" si="40"/>
        <v>0</v>
      </c>
      <c r="X54" s="1326">
        <f t="shared" si="40"/>
        <v>0</v>
      </c>
      <c r="Y54" s="1326">
        <f t="shared" si="40"/>
        <v>0</v>
      </c>
      <c r="Z54" s="1326">
        <f t="shared" si="40"/>
        <v>0</v>
      </c>
      <c r="AA54" s="1326">
        <f t="shared" si="40"/>
        <v>0</v>
      </c>
      <c r="AB54" s="1326">
        <f t="shared" si="40"/>
        <v>0</v>
      </c>
      <c r="AC54" s="2395">
        <f t="shared" si="40"/>
        <v>0</v>
      </c>
      <c r="AD54" s="2348">
        <f>SatsBilag!B14*'lon undervisning'!AD6</f>
        <v>0</v>
      </c>
      <c r="AE54" s="2349">
        <f>SatsBilag!C14*'lon undervisning'!AE6</f>
        <v>0</v>
      </c>
      <c r="AF54" s="519" t="s">
        <v>524</v>
      </c>
    </row>
    <row r="55" spans="1:36" ht="24" customHeight="1" thickBot="1">
      <c r="A55" s="2983" t="s">
        <v>525</v>
      </c>
      <c r="B55" s="2984"/>
      <c r="C55" s="2350">
        <f>SUM(C45+C53+C51+C52)+C54*2/3</f>
        <v>0</v>
      </c>
      <c r="D55" s="2396">
        <f>SUM(D45+D53+D51+D52)+D54*2/3</f>
        <v>0</v>
      </c>
      <c r="E55" s="2350">
        <f>SUM(E45+E53+E51+E52)+E54*2/3</f>
        <v>0</v>
      </c>
      <c r="F55" s="2351">
        <f>SUM(F45+F53+F51+F52)+F54*2/3</f>
        <v>0</v>
      </c>
      <c r="G55" s="2304">
        <f>SUM(G50:G53)-G48-G49+G54*2/3</f>
        <v>0</v>
      </c>
      <c r="H55" s="1327">
        <f t="shared" ref="H55:AE55" si="41">SUM(H50:H53)-H48-H49+H54*2/3</f>
        <v>0</v>
      </c>
      <c r="I55" s="1327">
        <f t="shared" si="41"/>
        <v>0</v>
      </c>
      <c r="J55" s="1327">
        <f t="shared" si="41"/>
        <v>0</v>
      </c>
      <c r="K55" s="1327">
        <f t="shared" si="41"/>
        <v>0</v>
      </c>
      <c r="L55" s="1327">
        <f t="shared" si="41"/>
        <v>0</v>
      </c>
      <c r="M55" s="1327">
        <f t="shared" si="41"/>
        <v>0</v>
      </c>
      <c r="N55" s="1327">
        <f t="shared" si="41"/>
        <v>5752.8546333632476</v>
      </c>
      <c r="O55" s="1327">
        <f t="shared" si="41"/>
        <v>0</v>
      </c>
      <c r="P55" s="1327">
        <f t="shared" si="41"/>
        <v>0</v>
      </c>
      <c r="Q55" s="1327">
        <f t="shared" si="41"/>
        <v>0</v>
      </c>
      <c r="R55" s="1327">
        <f t="shared" si="41"/>
        <v>0</v>
      </c>
      <c r="S55" s="1327">
        <f t="shared" si="41"/>
        <v>0</v>
      </c>
      <c r="T55" s="1327">
        <f t="shared" si="41"/>
        <v>0</v>
      </c>
      <c r="U55" s="1327">
        <f t="shared" si="41"/>
        <v>0</v>
      </c>
      <c r="V55" s="1327">
        <f t="shared" si="41"/>
        <v>0</v>
      </c>
      <c r="W55" s="1327">
        <f t="shared" si="41"/>
        <v>0</v>
      </c>
      <c r="X55" s="1327">
        <f t="shared" si="41"/>
        <v>0</v>
      </c>
      <c r="Y55" s="1327">
        <f t="shared" si="41"/>
        <v>0</v>
      </c>
      <c r="Z55" s="1327">
        <f t="shared" si="41"/>
        <v>0</v>
      </c>
      <c r="AA55" s="1327">
        <f t="shared" si="41"/>
        <v>0</v>
      </c>
      <c r="AB55" s="1327">
        <f t="shared" si="41"/>
        <v>0</v>
      </c>
      <c r="AC55" s="2396">
        <f t="shared" si="41"/>
        <v>0</v>
      </c>
      <c r="AD55" s="2350">
        <f t="shared" si="41"/>
        <v>0</v>
      </c>
      <c r="AE55" s="2351">
        <f t="shared" si="41"/>
        <v>0</v>
      </c>
      <c r="AF55" s="868">
        <f>SUM(C55:AE55)</f>
        <v>5752.8546333632476</v>
      </c>
    </row>
    <row r="56" spans="1:36" ht="60" customHeight="1">
      <c r="A56" s="2999" t="s">
        <v>1521</v>
      </c>
      <c r="B56" s="3000"/>
      <c r="C56" s="2352"/>
      <c r="D56" s="2445"/>
      <c r="E56" s="2352"/>
      <c r="F56" s="2353"/>
      <c r="G56" s="2305"/>
      <c r="H56" s="1328"/>
      <c r="I56" s="1328"/>
      <c r="J56" s="1328"/>
      <c r="K56" s="1328"/>
      <c r="L56" s="1328"/>
      <c r="M56" s="1328"/>
      <c r="N56" s="1328"/>
      <c r="O56" s="1328"/>
      <c r="P56" s="1328"/>
      <c r="Q56" s="1328"/>
      <c r="R56" s="1328"/>
      <c r="S56" s="1328"/>
      <c r="T56" s="1328"/>
      <c r="U56" s="1328"/>
      <c r="V56" s="1328"/>
      <c r="W56" s="1328"/>
      <c r="X56" s="1328"/>
      <c r="Y56" s="1328"/>
      <c r="Z56" s="1328"/>
      <c r="AA56" s="1328"/>
      <c r="AB56" s="1328"/>
      <c r="AC56" s="1329"/>
      <c r="AD56" s="2362"/>
      <c r="AE56" s="2363"/>
      <c r="AF56" s="525"/>
    </row>
    <row r="57" spans="1:36" ht="60" customHeight="1">
      <c r="A57" s="2989" t="s">
        <v>1522</v>
      </c>
      <c r="B57" s="2990"/>
      <c r="C57" s="2354"/>
      <c r="D57" s="2446"/>
      <c r="E57" s="2354"/>
      <c r="F57" s="2355"/>
      <c r="G57" s="2306"/>
      <c r="H57" s="1330"/>
      <c r="I57" s="1330"/>
      <c r="J57" s="1330"/>
      <c r="K57" s="1330"/>
      <c r="L57" s="1330"/>
      <c r="M57" s="1330"/>
      <c r="N57" s="1330"/>
      <c r="O57" s="1330"/>
      <c r="P57" s="1330"/>
      <c r="Q57" s="1330"/>
      <c r="R57" s="1330"/>
      <c r="S57" s="1330"/>
      <c r="T57" s="1330"/>
      <c r="U57" s="1330"/>
      <c r="V57" s="1330"/>
      <c r="W57" s="1330"/>
      <c r="X57" s="1330"/>
      <c r="Y57" s="1330"/>
      <c r="Z57" s="1330"/>
      <c r="AA57" s="1330"/>
      <c r="AB57" s="1330"/>
      <c r="AC57" s="2397"/>
      <c r="AD57" s="2366"/>
      <c r="AE57" s="2367"/>
      <c r="AF57" s="525"/>
    </row>
    <row r="58" spans="1:36" ht="60" customHeight="1">
      <c r="A58" s="2989" t="s">
        <v>1523</v>
      </c>
      <c r="B58" s="2990"/>
      <c r="C58" s="2356"/>
      <c r="D58" s="2447"/>
      <c r="E58" s="2356"/>
      <c r="F58" s="2357"/>
      <c r="G58" s="2306"/>
      <c r="H58" s="1330"/>
      <c r="I58" s="1330"/>
      <c r="J58" s="1330"/>
      <c r="K58" s="1330"/>
      <c r="L58" s="1330"/>
      <c r="M58" s="1330"/>
      <c r="N58" s="1330"/>
      <c r="O58" s="1330"/>
      <c r="P58" s="1330"/>
      <c r="Q58" s="1330"/>
      <c r="R58" s="1330"/>
      <c r="S58" s="1330"/>
      <c r="T58" s="1330"/>
      <c r="U58" s="1330"/>
      <c r="V58" s="1330"/>
      <c r="W58" s="1330"/>
      <c r="X58" s="1330"/>
      <c r="Y58" s="1330"/>
      <c r="Z58" s="1330"/>
      <c r="AA58" s="1330"/>
      <c r="AB58" s="1330"/>
      <c r="AC58" s="2397"/>
      <c r="AD58" s="2407"/>
      <c r="AE58" s="2408"/>
      <c r="AF58" s="525"/>
    </row>
    <row r="59" spans="1:36" ht="45" customHeight="1">
      <c r="A59" s="2989" t="s">
        <v>1524</v>
      </c>
      <c r="B59" s="2990"/>
      <c r="C59" s="2358"/>
      <c r="D59" s="2448"/>
      <c r="E59" s="2358"/>
      <c r="F59" s="2359"/>
      <c r="G59" s="2306"/>
      <c r="H59" s="1330"/>
      <c r="I59" s="1330"/>
      <c r="J59" s="1330"/>
      <c r="K59" s="1330"/>
      <c r="L59" s="1330"/>
      <c r="M59" s="1330"/>
      <c r="N59" s="1330"/>
      <c r="O59" s="1330"/>
      <c r="P59" s="1330"/>
      <c r="Q59" s="1330"/>
      <c r="R59" s="1330"/>
      <c r="S59" s="1330"/>
      <c r="T59" s="1330"/>
      <c r="U59" s="1330"/>
      <c r="V59" s="1330"/>
      <c r="W59" s="1330"/>
      <c r="X59" s="1330"/>
      <c r="Y59" s="1330"/>
      <c r="Z59" s="1330"/>
      <c r="AA59" s="1330"/>
      <c r="AB59" s="1330"/>
      <c r="AC59" s="2397"/>
      <c r="AD59" s="2415"/>
      <c r="AE59" s="2416"/>
      <c r="AF59" s="525"/>
    </row>
    <row r="60" spans="1:36" ht="44" customHeight="1" thickBot="1">
      <c r="A60" s="2989" t="s">
        <v>1525</v>
      </c>
      <c r="B60" s="2990"/>
      <c r="C60" s="2352"/>
      <c r="D60" s="2445"/>
      <c r="E60" s="2352"/>
      <c r="F60" s="2353"/>
      <c r="G60" s="2306"/>
      <c r="H60" s="1330"/>
      <c r="I60" s="1330"/>
      <c r="J60" s="1330"/>
      <c r="K60" s="1330"/>
      <c r="L60" s="1330"/>
      <c r="M60" s="1330"/>
      <c r="N60" s="1330"/>
      <c r="O60" s="1330"/>
      <c r="P60" s="1330"/>
      <c r="Q60" s="1330"/>
      <c r="R60" s="1330"/>
      <c r="S60" s="1330"/>
      <c r="T60" s="1330"/>
      <c r="U60" s="1330"/>
      <c r="V60" s="1330"/>
      <c r="W60" s="1330"/>
      <c r="X60" s="1330"/>
      <c r="Y60" s="1330"/>
      <c r="Z60" s="1330"/>
      <c r="AA60" s="1330"/>
      <c r="AB60" s="1330"/>
      <c r="AC60" s="2397"/>
      <c r="AD60" s="2415"/>
      <c r="AE60" s="2416"/>
      <c r="AF60" s="525"/>
    </row>
    <row r="61" spans="1:36" ht="21" customHeight="1">
      <c r="A61" s="3001" t="s">
        <v>526</v>
      </c>
      <c r="B61" s="3002"/>
      <c r="C61" s="2352"/>
      <c r="D61" s="2445"/>
      <c r="E61" s="2352"/>
      <c r="F61" s="2353"/>
      <c r="G61" s="2307">
        <f t="shared" ref="G61:AC61" si="42">IF(G19&gt;0,(((SUM(G30:G34))*G17*G19/12)+((G26+G27+G28+G29)*G17/12)+G24+G35+G25+G36+G37+G43)/G19*12/1924*SUM(G56/4+G57*0.5+G58)+(G59*163.64*G17)+(G60*372.2*G17),0)</f>
        <v>0</v>
      </c>
      <c r="H61" s="1331">
        <f t="shared" si="42"/>
        <v>0</v>
      </c>
      <c r="I61" s="1331">
        <f t="shared" si="42"/>
        <v>0</v>
      </c>
      <c r="J61" s="1331">
        <f t="shared" si="42"/>
        <v>0</v>
      </c>
      <c r="K61" s="1331">
        <f t="shared" si="42"/>
        <v>0</v>
      </c>
      <c r="L61" s="1331">
        <f t="shared" si="42"/>
        <v>0</v>
      </c>
      <c r="M61" s="1331">
        <f t="shared" si="42"/>
        <v>0</v>
      </c>
      <c r="N61" s="1331">
        <f t="shared" si="42"/>
        <v>0</v>
      </c>
      <c r="O61" s="1331">
        <f t="shared" si="42"/>
        <v>0</v>
      </c>
      <c r="P61" s="1331">
        <f t="shared" si="42"/>
        <v>0</v>
      </c>
      <c r="Q61" s="1331">
        <f t="shared" si="42"/>
        <v>0</v>
      </c>
      <c r="R61" s="1331">
        <f t="shared" si="42"/>
        <v>0</v>
      </c>
      <c r="S61" s="1331">
        <f t="shared" si="42"/>
        <v>0</v>
      </c>
      <c r="T61" s="1331">
        <f t="shared" si="42"/>
        <v>0</v>
      </c>
      <c r="U61" s="1331">
        <f t="shared" si="42"/>
        <v>0</v>
      </c>
      <c r="V61" s="1331">
        <f t="shared" si="42"/>
        <v>0</v>
      </c>
      <c r="W61" s="1331">
        <f t="shared" si="42"/>
        <v>0</v>
      </c>
      <c r="X61" s="1331">
        <f t="shared" si="42"/>
        <v>0</v>
      </c>
      <c r="Y61" s="1331">
        <f t="shared" si="42"/>
        <v>0</v>
      </c>
      <c r="Z61" s="1331">
        <f t="shared" si="42"/>
        <v>0</v>
      </c>
      <c r="AA61" s="1331">
        <f t="shared" si="42"/>
        <v>0</v>
      </c>
      <c r="AB61" s="1331">
        <f t="shared" si="42"/>
        <v>0</v>
      </c>
      <c r="AC61" s="2398">
        <f t="shared" si="42"/>
        <v>0</v>
      </c>
      <c r="AD61" s="2417">
        <f>IF(AD19&gt;0,(((SUM(AD30:AD34))*AD17*AD19/12)+((AD26+AD27+AD28+AD29)*AD17/12)+AD24+AD35+AD25+AD36+AD37+#REF!+AD43)/AD19*12/1924*SUM(AD56/4+AD57*0.5+AD58),0)</f>
        <v>0</v>
      </c>
      <c r="AE61" s="2418">
        <f>IF(AE19&gt;0,(((SUM(AE30:AE34))*AE17*AE19/12)+((AE26+AE27+AE28+AE29)*AE17/12)+AE24+AE35+AE25+AE36+AE37+#REF!+AE43)/AE19*12/1924*SUM(AE56/4+AE57*0.5+AE58),0)</f>
        <v>0</v>
      </c>
      <c r="AF61" s="525"/>
    </row>
    <row r="62" spans="1:36" ht="45" customHeight="1">
      <c r="A62" s="2981" t="s">
        <v>1526</v>
      </c>
      <c r="B62" s="2982"/>
      <c r="C62" s="2360"/>
      <c r="D62" s="2449"/>
      <c r="E62" s="2456"/>
      <c r="F62" s="2361"/>
      <c r="G62" s="2308"/>
      <c r="H62" s="1332"/>
      <c r="I62" s="1332"/>
      <c r="J62" s="1332"/>
      <c r="K62" s="1332"/>
      <c r="L62" s="1332"/>
      <c r="M62" s="1332"/>
      <c r="N62" s="1332"/>
      <c r="O62" s="1332"/>
      <c r="P62" s="1332"/>
      <c r="Q62" s="1332"/>
      <c r="R62" s="1332"/>
      <c r="S62" s="1332"/>
      <c r="T62" s="1332"/>
      <c r="U62" s="1332"/>
      <c r="V62" s="1332"/>
      <c r="W62" s="1332"/>
      <c r="X62" s="1332"/>
      <c r="Y62" s="1332"/>
      <c r="Z62" s="1332"/>
      <c r="AA62" s="1332"/>
      <c r="AB62" s="1332"/>
      <c r="AC62" s="2399"/>
      <c r="AD62" s="2407"/>
      <c r="AE62" s="2408"/>
      <c r="AF62" s="521"/>
    </row>
    <row r="63" spans="1:36" ht="48" customHeight="1">
      <c r="A63" s="2989" t="str">
        <f>"Vedr. beregning af det særlige ferietillæg der udbetales maj og august "&amp;budgetår&amp;" oplyses her antal ansættelsesmåneder i perioden september "&amp;budgetår-1&amp;" - august "&amp;budgetår&amp;". Hvis alle måneder - skriv 12. Hvis den ansatte har mere end en kolonne, oplyses tallet i den kolonne/ansættelse der går videre til "&amp;budgetår+1&amp;"."</f>
        <v>Vedr. beregning af det særlige ferietillæg der udbetales maj og august 2026 oplyses her antal ansættelsesmåneder i perioden september 2025 - august 2026. Hvis alle måneder - skriv 12. Hvis den ansatte har mere end en kolonne, oplyses tallet i den kolonne/ansættelse der går videre til 2027.</v>
      </c>
      <c r="B63" s="2990"/>
      <c r="C63" s="2362"/>
      <c r="D63" s="1329"/>
      <c r="E63" s="2362"/>
      <c r="F63" s="2363"/>
      <c r="G63" s="2305"/>
      <c r="H63" s="1328"/>
      <c r="I63" s="1328"/>
      <c r="J63" s="1328"/>
      <c r="K63" s="1328"/>
      <c r="L63" s="1328"/>
      <c r="M63" s="1328"/>
      <c r="N63" s="1328"/>
      <c r="O63" s="1328"/>
      <c r="P63" s="1328"/>
      <c r="Q63" s="1328"/>
      <c r="R63" s="1328"/>
      <c r="S63" s="1328"/>
      <c r="T63" s="1328"/>
      <c r="U63" s="1328"/>
      <c r="V63" s="1328"/>
      <c r="W63" s="1328"/>
      <c r="X63" s="1328"/>
      <c r="Y63" s="1328"/>
      <c r="Z63" s="1328"/>
      <c r="AA63" s="1328"/>
      <c r="AB63" s="1328"/>
      <c r="AC63" s="1329"/>
      <c r="AD63" s="2407"/>
      <c r="AE63" s="2408"/>
      <c r="AF63" s="525"/>
    </row>
    <row r="64" spans="1:36" ht="22" customHeight="1">
      <c r="A64" s="2987" t="str">
        <f>"Særlig ferietillæg - 2,02% af den ferieberettiget løn optjent september "&amp;budgetår-1&amp;" - august "&amp;budgetår&amp;""</f>
        <v>Særlig ferietillæg - 2,02% af den ferieberettiget løn optjent september 2025 - august 2026</v>
      </c>
      <c r="B64" s="2988"/>
      <c r="C64" s="2364">
        <f t="shared" ref="C64:AC64" si="43">IF(C10&gt;0,(C45+C56+C57+C58)*2.02%*C63,0)</f>
        <v>0</v>
      </c>
      <c r="D64" s="2400">
        <f t="shared" si="43"/>
        <v>0</v>
      </c>
      <c r="E64" s="2364">
        <f t="shared" si="43"/>
        <v>0</v>
      </c>
      <c r="F64" s="2365">
        <f t="shared" si="43"/>
        <v>0</v>
      </c>
      <c r="G64" s="2309">
        <f t="shared" si="43"/>
        <v>0</v>
      </c>
      <c r="H64" s="1333">
        <f t="shared" si="43"/>
        <v>0</v>
      </c>
      <c r="I64" s="1333">
        <f t="shared" si="43"/>
        <v>0</v>
      </c>
      <c r="J64" s="1333">
        <f t="shared" si="43"/>
        <v>0</v>
      </c>
      <c r="K64" s="1333">
        <f t="shared" si="43"/>
        <v>0</v>
      </c>
      <c r="L64" s="1333">
        <f t="shared" si="43"/>
        <v>0</v>
      </c>
      <c r="M64" s="1333">
        <f t="shared" si="43"/>
        <v>0</v>
      </c>
      <c r="N64" s="1333">
        <f t="shared" si="43"/>
        <v>0</v>
      </c>
      <c r="O64" s="1333">
        <f t="shared" si="43"/>
        <v>0</v>
      </c>
      <c r="P64" s="1333">
        <f t="shared" si="43"/>
        <v>0</v>
      </c>
      <c r="Q64" s="1333">
        <f t="shared" si="43"/>
        <v>0</v>
      </c>
      <c r="R64" s="1333">
        <f t="shared" si="43"/>
        <v>0</v>
      </c>
      <c r="S64" s="1333">
        <f t="shared" si="43"/>
        <v>0</v>
      </c>
      <c r="T64" s="1333">
        <f t="shared" si="43"/>
        <v>0</v>
      </c>
      <c r="U64" s="1333">
        <f t="shared" si="43"/>
        <v>0</v>
      </c>
      <c r="V64" s="1333">
        <f t="shared" si="43"/>
        <v>0</v>
      </c>
      <c r="W64" s="1333">
        <f t="shared" si="43"/>
        <v>0</v>
      </c>
      <c r="X64" s="1333">
        <f t="shared" si="43"/>
        <v>0</v>
      </c>
      <c r="Y64" s="1333">
        <f t="shared" si="43"/>
        <v>0</v>
      </c>
      <c r="Z64" s="1333">
        <f t="shared" si="43"/>
        <v>0</v>
      </c>
      <c r="AA64" s="1333">
        <f t="shared" si="43"/>
        <v>0</v>
      </c>
      <c r="AB64" s="1333">
        <f t="shared" si="43"/>
        <v>0</v>
      </c>
      <c r="AC64" s="2400">
        <f t="shared" si="43"/>
        <v>0</v>
      </c>
      <c r="AD64" s="2407"/>
      <c r="AE64" s="2408"/>
      <c r="AF64" s="525"/>
      <c r="AH64" s="674"/>
      <c r="AI64" s="674"/>
      <c r="AJ64" s="675"/>
    </row>
    <row r="65" spans="1:36" ht="60" customHeight="1">
      <c r="A65" s="2989" t="str">
        <f>"Antal særlige feriedage optjent "&amp;budgetår-2&amp;" som ikke er afholdt i perioden 1. maj "&amp;budgetår-1&amp;" - 30. april "&amp;budgetår&amp;" og som udbetales 30. april "&amp;budgetår&amp;". Hvis den ansatte har mere end en kolonne, oplyses antal skyldige særlige feriedage i den kolonne der videreføres til "&amp;budgetår+1&amp;". Ved en ansat der fratræder oplyses her antal feriedage og særlige feriedage der afregnes med."</f>
        <v>Antal særlige feriedage optjent 2024 som ikke er afholdt i perioden 1. maj 2025 - 30. april 2026 og som udbetales 30. april 2026. Hvis den ansatte har mere end en kolonne, oplyses antal skyldige særlige feriedage i den kolonne der videreføres til 2027. Ved en ansat der fratræder oplyses her antal feriedage og særlige feriedage der afregnes med.</v>
      </c>
      <c r="B65" s="2990"/>
      <c r="C65" s="2366"/>
      <c r="D65" s="2397"/>
      <c r="E65" s="2366"/>
      <c r="F65" s="2367"/>
      <c r="G65" s="2306"/>
      <c r="H65" s="1330"/>
      <c r="I65" s="1330"/>
      <c r="J65" s="1330"/>
      <c r="K65" s="1330"/>
      <c r="L65" s="1330"/>
      <c r="M65" s="1330"/>
      <c r="N65" s="1330"/>
      <c r="O65" s="1330"/>
      <c r="P65" s="1330"/>
      <c r="Q65" s="1330"/>
      <c r="R65" s="1330"/>
      <c r="S65" s="1330"/>
      <c r="T65" s="1330"/>
      <c r="U65" s="1330"/>
      <c r="V65" s="1330"/>
      <c r="W65" s="1330"/>
      <c r="X65" s="1330"/>
      <c r="Y65" s="1330"/>
      <c r="Z65" s="1330"/>
      <c r="AA65" s="1330"/>
      <c r="AB65" s="1330"/>
      <c r="AC65" s="2397"/>
      <c r="AD65" s="2407"/>
      <c r="AE65" s="2408"/>
      <c r="AF65" s="525"/>
      <c r="AH65" s="674"/>
      <c r="AI65" s="674"/>
      <c r="AJ65" s="675"/>
    </row>
    <row r="66" spans="1:36" ht="31" customHeight="1" thickBot="1">
      <c r="A66" s="2987" t="str">
        <f>"Særlige feriedage optjent "&amp;budgetår-2&amp;" - udbetalt april "&amp;budgetår&amp;" (0,5% pr. skyldig dag) ELLER hvis afregne - skriv antal dage der afregnes med"</f>
        <v>Særlige feriedage optjent 2024 - udbetalt april 2026 (0,5% pr. skyldig dag) ELLER hvis afregne - skriv antal dage der afregnes med</v>
      </c>
      <c r="B66" s="2988"/>
      <c r="C66" s="2368">
        <f>((C45+C48)*12/C17*SatsBilag!$B$8-((C45+C48)/C17*SatsBilag!$B$8*12/52/5*25))*0.5%*C65</f>
        <v>0</v>
      </c>
      <c r="D66" s="2450">
        <f>((D45+D48)*12/D17*SatsBilag!$B$8-((D45+D48)/D17*SatsBilag!$B$8*12/52/5*25))*0.5%*D65</f>
        <v>0</v>
      </c>
      <c r="E66" s="2368">
        <f>((E45+E48)*12/E17*SatsBilag!$B$8-((E45+E48)/E17*SatsBilag!$B$8*12/52/5*25))*0.5%*E65</f>
        <v>0</v>
      </c>
      <c r="F66" s="2369">
        <f>((F45+F48)*12/F17*SatsBilag!$B$8-((F45+F48)/F17*SatsBilag!$B$8*12/52/5*25))*0.5%*F65</f>
        <v>0</v>
      </c>
      <c r="G66" s="2309">
        <f>((G45+G48)*12/G17*SatsBilag!$B$8-((G45+G48)/G17*SatsBilag!$B$8*12/52/5*25))*0.5%*G65</f>
        <v>0</v>
      </c>
      <c r="H66" s="1333">
        <f>((H45+H48)*12/H17*SatsBilag!$B$8-((H45+H48)/H17*SatsBilag!$B$8*12/52/5*25))*0.5%*H65</f>
        <v>0</v>
      </c>
      <c r="I66" s="1333">
        <f>((I45+I48)*12/I17*SatsBilag!$B$8-((I45+I48)/I17*SatsBilag!$B$8*12/52/5*25))*0.5%*I65</f>
        <v>0</v>
      </c>
      <c r="J66" s="1333">
        <f>((J45+J48)*12/J17*SatsBilag!$B$8-((J45+J48)/J17*SatsBilag!$B$8*12/52/5*25))*0.5%*J65</f>
        <v>0</v>
      </c>
      <c r="K66" s="1333">
        <f>((K45+K48)*12/K17*SatsBilag!$B$8-((K45+K48)/K17*SatsBilag!$B$8*12/52/5*25))*0.5%*K65</f>
        <v>0</v>
      </c>
      <c r="L66" s="1333">
        <f>((L45+L48)*12/L17*SatsBilag!$B$8-((L45+L48)/L17*SatsBilag!$B$8*12/52/5*25))*0.5%*L65</f>
        <v>0</v>
      </c>
      <c r="M66" s="1333">
        <f>((M45+M48)*12/M17*SatsBilag!$B$8-((M45+M48)/M17*SatsBilag!$B$8*12/52/5*25))*0.5%*M65</f>
        <v>0</v>
      </c>
      <c r="N66" s="1333">
        <f>((N45+N48)*12/N17*SatsBilag!$B$8-((N45+N48)/N17*SatsBilag!$B$8*12/52/5*25))*0.5%*N65</f>
        <v>0</v>
      </c>
      <c r="O66" s="1333">
        <f>((O45+O48)*12/O17*SatsBilag!$B$8-((O45+O48)/O17*SatsBilag!$B$8*12/52/5*25))*0.5%*O65</f>
        <v>0</v>
      </c>
      <c r="P66" s="1333">
        <f>((P45+P48)*12/P17*SatsBilag!$B$8-((P45+P48)/P17*SatsBilag!$B$8*12/52/5*25))*0.5%*P65</f>
        <v>0</v>
      </c>
      <c r="Q66" s="1333">
        <f>((Q45+Q48)*12/Q17*SatsBilag!$B$8-((Q45+Q48)/Q17*SatsBilag!$B$8*12/52/5*25))*0.5%*Q65</f>
        <v>0</v>
      </c>
      <c r="R66" s="1333">
        <f>((R45+R48)*12/R17*SatsBilag!$B$8-((R45+R48)/R17*SatsBilag!$B$8*12/52/5*25))*0.5%*R65</f>
        <v>0</v>
      </c>
      <c r="S66" s="1333">
        <f>((S45+S48)*12/S17*SatsBilag!$B$8-((S45+S48)/S17*SatsBilag!$B$8*12/52/5*25))*0.5%*S65</f>
        <v>0</v>
      </c>
      <c r="T66" s="1333">
        <f>((T45+T48)*12/T17*SatsBilag!$B$8-((T45+T48)/T17*SatsBilag!$B$8*12/52/5*25))*0.5%*T65</f>
        <v>0</v>
      </c>
      <c r="U66" s="1333">
        <f>((U45+U48)*12/U17*SatsBilag!$B$8-((U45+U48)/U17*SatsBilag!$B$8*12/52/5*25))*0.5%*U65</f>
        <v>0</v>
      </c>
      <c r="V66" s="1333">
        <f>((V45+V48)*12/V17*SatsBilag!$B$8-((V45+V48)/V17*SatsBilag!$B$8*12/52/5*25))*0.5%*V65</f>
        <v>0</v>
      </c>
      <c r="W66" s="1333">
        <f>((W45+W48)*12/W17*SatsBilag!$B$8-((W45+W48)/W17*SatsBilag!$B$8*12/52/5*25))*0.5%*W65</f>
        <v>0</v>
      </c>
      <c r="X66" s="1333">
        <f>((X45+X48)*12/X17*SatsBilag!$B$8-((X45+X48)/X17*SatsBilag!$B$8*12/52/5*25))*0.5%*X65</f>
        <v>0</v>
      </c>
      <c r="Y66" s="1333">
        <f>((Y45+Y48)*12/Y17*SatsBilag!$B$8-((Y45+Y48)/Y17*SatsBilag!$B$8*12/52/5*25))*0.5%*Y65</f>
        <v>0</v>
      </c>
      <c r="Z66" s="1333">
        <f>((Z45+Z48)*12/Z17*SatsBilag!$B$8-((Z45+Z48)/Z17*SatsBilag!$B$8*12/52/5*25))*0.5%*Z65</f>
        <v>0</v>
      </c>
      <c r="AA66" s="1333">
        <f>((AA45+AA48)*12/AA17*SatsBilag!$B$8-((AA45+AA48)/AA17*SatsBilag!$B$8*12/52/5*25))*0.5%*AA65</f>
        <v>0</v>
      </c>
      <c r="AB66" s="1333">
        <f>((AB45+AB48)*12/AB17*SatsBilag!$B$8-((AB45+AB48)/AB17*SatsBilag!$B$8*12/52/5*25))*0.5%*AB65</f>
        <v>0</v>
      </c>
      <c r="AC66" s="2400">
        <f>((AC45+AC48)*12/AC17*SatsBilag!$B$8-((AC45+AC48)/AC17*SatsBilag!$B$8*12/52/5*25))*0.5%*AC65</f>
        <v>0</v>
      </c>
      <c r="AD66" s="2419"/>
      <c r="AE66" s="2420"/>
      <c r="AF66" s="533"/>
    </row>
    <row r="67" spans="1:36" ht="24" customHeight="1" thickBot="1">
      <c r="A67" s="2997" t="str">
        <f>"Lærerløns udgift for  "&amp;budgetår</f>
        <v>Lærerløns udgift for  2026</v>
      </c>
      <c r="B67" s="2998"/>
      <c r="C67" s="2310">
        <f t="shared" ref="C67:AC67" si="44">IF(C12="orlov",(C53+C52+C51)*C10+C64+C62+C66,C55*C10+C61+C64+C66+C62)</f>
        <v>0</v>
      </c>
      <c r="D67" s="2451">
        <f t="shared" si="44"/>
        <v>0</v>
      </c>
      <c r="E67" s="2457">
        <f t="shared" si="44"/>
        <v>0</v>
      </c>
      <c r="F67" s="2458">
        <f t="shared" si="44"/>
        <v>0</v>
      </c>
      <c r="G67" s="2453">
        <f t="shared" si="44"/>
        <v>0</v>
      </c>
      <c r="H67" s="1334">
        <f t="shared" si="44"/>
        <v>0</v>
      </c>
      <c r="I67" s="1334">
        <f t="shared" si="44"/>
        <v>0</v>
      </c>
      <c r="J67" s="1334">
        <f t="shared" si="44"/>
        <v>0</v>
      </c>
      <c r="K67" s="1334">
        <f t="shared" si="44"/>
        <v>0</v>
      </c>
      <c r="L67" s="1334">
        <f t="shared" si="44"/>
        <v>0</v>
      </c>
      <c r="M67" s="1334">
        <f t="shared" si="44"/>
        <v>0</v>
      </c>
      <c r="N67" s="1334">
        <f t="shared" si="44"/>
        <v>0</v>
      </c>
      <c r="O67" s="1334">
        <f t="shared" si="44"/>
        <v>0</v>
      </c>
      <c r="P67" s="1334">
        <f t="shared" si="44"/>
        <v>0</v>
      </c>
      <c r="Q67" s="1334">
        <f t="shared" si="44"/>
        <v>0</v>
      </c>
      <c r="R67" s="1334">
        <f t="shared" si="44"/>
        <v>0</v>
      </c>
      <c r="S67" s="1334">
        <f t="shared" si="44"/>
        <v>0</v>
      </c>
      <c r="T67" s="1334">
        <f t="shared" si="44"/>
        <v>0</v>
      </c>
      <c r="U67" s="1334">
        <f t="shared" si="44"/>
        <v>0</v>
      </c>
      <c r="V67" s="1334">
        <f t="shared" si="44"/>
        <v>0</v>
      </c>
      <c r="W67" s="1334">
        <f t="shared" si="44"/>
        <v>0</v>
      </c>
      <c r="X67" s="1334">
        <f t="shared" si="44"/>
        <v>0</v>
      </c>
      <c r="Y67" s="1334">
        <f t="shared" si="44"/>
        <v>0</v>
      </c>
      <c r="Z67" s="1334">
        <f t="shared" si="44"/>
        <v>0</v>
      </c>
      <c r="AA67" s="1334">
        <f t="shared" si="44"/>
        <v>0</v>
      </c>
      <c r="AB67" s="1334">
        <f t="shared" si="44"/>
        <v>0</v>
      </c>
      <c r="AC67" s="1334">
        <f t="shared" si="44"/>
        <v>0</v>
      </c>
      <c r="AD67" s="2310">
        <f>IF(AD12="orlov",AD53*AD10,AD55*AD10+AD61+AD64+AD66)</f>
        <v>0</v>
      </c>
      <c r="AE67" s="2310">
        <f>IF(AE12="orlov",AE53*AE10,AE55*AE10+AE61+AE64+AE66)</f>
        <v>0</v>
      </c>
      <c r="AF67" s="1335">
        <f>SUM(C67:AE67)</f>
        <v>0</v>
      </c>
    </row>
    <row r="68" spans="1:36" ht="24" customHeight="1" thickBot="1">
      <c r="A68" s="2995" t="str">
        <f>"Anslået udgift for  "&amp;budgetår+1</f>
        <v>Anslået udgift for  2027</v>
      </c>
      <c r="B68" s="2996"/>
      <c r="C68" s="1336">
        <f t="shared" ref="C68:AC68" si="45">IF(AND(C11&gt;0,C12="Orlov"),((((((C51+C52+C53)*C11)+C64+C62+C66))*(Lønfremskivning+1))),(((C55)*C11+IF(C11&gt;0,+C61+C64+C66+C69+C62))*(Lønfremskivning+1)))</f>
        <v>0</v>
      </c>
      <c r="D68" s="1336">
        <f t="shared" si="45"/>
        <v>0</v>
      </c>
      <c r="E68" s="2459">
        <f t="shared" si="45"/>
        <v>0</v>
      </c>
      <c r="F68" s="2460">
        <f t="shared" si="45"/>
        <v>0</v>
      </c>
      <c r="G68" s="1336">
        <f t="shared" si="45"/>
        <v>0</v>
      </c>
      <c r="H68" s="1336">
        <f t="shared" si="45"/>
        <v>0</v>
      </c>
      <c r="I68" s="1336">
        <f t="shared" si="45"/>
        <v>0</v>
      </c>
      <c r="J68" s="1336">
        <f t="shared" si="45"/>
        <v>0</v>
      </c>
      <c r="K68" s="1336">
        <f t="shared" si="45"/>
        <v>0</v>
      </c>
      <c r="L68" s="1336">
        <f t="shared" si="45"/>
        <v>0</v>
      </c>
      <c r="M68" s="1336">
        <f t="shared" si="45"/>
        <v>0</v>
      </c>
      <c r="N68" s="1336">
        <f t="shared" si="45"/>
        <v>0</v>
      </c>
      <c r="O68" s="1336">
        <f t="shared" si="45"/>
        <v>0</v>
      </c>
      <c r="P68" s="1336">
        <f t="shared" si="45"/>
        <v>0</v>
      </c>
      <c r="Q68" s="1336">
        <f t="shared" si="45"/>
        <v>0</v>
      </c>
      <c r="R68" s="1336">
        <f t="shared" si="45"/>
        <v>0</v>
      </c>
      <c r="S68" s="1336">
        <f t="shared" si="45"/>
        <v>0</v>
      </c>
      <c r="T68" s="1336">
        <f t="shared" si="45"/>
        <v>0</v>
      </c>
      <c r="U68" s="1336">
        <f t="shared" si="45"/>
        <v>0</v>
      </c>
      <c r="V68" s="1336">
        <f t="shared" si="45"/>
        <v>0</v>
      </c>
      <c r="W68" s="1336">
        <f t="shared" si="45"/>
        <v>0</v>
      </c>
      <c r="X68" s="1336">
        <f t="shared" si="45"/>
        <v>0</v>
      </c>
      <c r="Y68" s="1336">
        <f t="shared" si="45"/>
        <v>0</v>
      </c>
      <c r="Z68" s="1336">
        <f t="shared" si="45"/>
        <v>0</v>
      </c>
      <c r="AA68" s="1336">
        <f t="shared" si="45"/>
        <v>0</v>
      </c>
      <c r="AB68" s="1336">
        <f t="shared" si="45"/>
        <v>0</v>
      </c>
      <c r="AC68" s="1336">
        <f t="shared" si="45"/>
        <v>0</v>
      </c>
      <c r="AD68" s="1336">
        <f>IF(AD11&gt;0,(AD55*AD11+AD61+AD64+AD66)*(Lønfremskivning+1),0)</f>
        <v>0</v>
      </c>
      <c r="AE68" s="1336">
        <f>IF(AE11&gt;0,(AE55*AE11+AE61+AE64+AE66)*(Lønfremskivning+1),0)</f>
        <v>0</v>
      </c>
      <c r="AF68" s="1337">
        <f>SUM(C68:AE68)</f>
        <v>0</v>
      </c>
    </row>
    <row r="69" spans="1:36" s="673" customFormat="1" ht="24" hidden="1" customHeight="1">
      <c r="A69" s="670" t="s">
        <v>527</v>
      </c>
      <c r="B69" s="670"/>
      <c r="C69" s="671">
        <f>IF(AND(C14="Nej",C15="Ja"),(C24+C38)*1.173*0.8%*C11,0)</f>
        <v>0</v>
      </c>
      <c r="D69" s="671">
        <f>IF(AND(D14="Nej",D15="Ja"),(D24+D38)*1.173*0.8%*D11,0)</f>
        <v>0</v>
      </c>
      <c r="E69" s="671">
        <f>IF(AND(E14="Nej",E15="Ja"),(E24+E38)*1.173*0.8%*E11,0)</f>
        <v>0</v>
      </c>
      <c r="F69" s="671">
        <f>IF(AND(F14="Nej",F15="Ja"),(F24+F38)*1.173*0.8%*F11,0)</f>
        <v>0</v>
      </c>
      <c r="G69" s="671">
        <f>IF(AND(G14="Nej",G15="Ja"),(G24+G38)*1.173*0.8%*G11,0)</f>
        <v>0</v>
      </c>
      <c r="H69" s="671">
        <f t="shared" ref="H69:AC69" si="46">IF(AND(H14="Nej",H15="Ja"),(H24+H38)*1.173*0.8%*H11,0)</f>
        <v>0</v>
      </c>
      <c r="I69" s="671">
        <f t="shared" si="46"/>
        <v>0</v>
      </c>
      <c r="J69" s="671">
        <f t="shared" si="46"/>
        <v>0</v>
      </c>
      <c r="K69" s="671">
        <f t="shared" si="46"/>
        <v>0</v>
      </c>
      <c r="L69" s="671">
        <f t="shared" si="46"/>
        <v>0</v>
      </c>
      <c r="M69" s="671">
        <f t="shared" si="46"/>
        <v>0</v>
      </c>
      <c r="N69" s="671">
        <f t="shared" si="46"/>
        <v>0</v>
      </c>
      <c r="O69" s="671">
        <f t="shared" si="46"/>
        <v>0</v>
      </c>
      <c r="P69" s="671">
        <f t="shared" si="46"/>
        <v>0</v>
      </c>
      <c r="Q69" s="671">
        <f t="shared" si="46"/>
        <v>0</v>
      </c>
      <c r="R69" s="671">
        <f t="shared" si="46"/>
        <v>0</v>
      </c>
      <c r="S69" s="671">
        <f t="shared" si="46"/>
        <v>0</v>
      </c>
      <c r="T69" s="671">
        <f t="shared" si="46"/>
        <v>0</v>
      </c>
      <c r="U69" s="671">
        <f t="shared" si="46"/>
        <v>0</v>
      </c>
      <c r="V69" s="671">
        <f t="shared" si="46"/>
        <v>0</v>
      </c>
      <c r="W69" s="671">
        <f t="shared" si="46"/>
        <v>0</v>
      </c>
      <c r="X69" s="671">
        <f t="shared" si="46"/>
        <v>0</v>
      </c>
      <c r="Y69" s="671">
        <f t="shared" si="46"/>
        <v>0</v>
      </c>
      <c r="Z69" s="671">
        <f t="shared" si="46"/>
        <v>0</v>
      </c>
      <c r="AA69" s="671">
        <f t="shared" si="46"/>
        <v>0</v>
      </c>
      <c r="AB69" s="671">
        <f t="shared" si="46"/>
        <v>0</v>
      </c>
      <c r="AC69" s="671">
        <f t="shared" si="46"/>
        <v>0</v>
      </c>
      <c r="AD69" s="671"/>
      <c r="AE69" s="671"/>
      <c r="AF69" s="672"/>
      <c r="AH69" s="62"/>
      <c r="AI69" s="62"/>
      <c r="AJ69" s="62"/>
    </row>
    <row r="70" spans="1:36" s="673" customFormat="1" ht="24" hidden="1" customHeight="1">
      <c r="A70" s="2991" t="s">
        <v>528</v>
      </c>
      <c r="B70" s="2991"/>
      <c r="C70" s="671"/>
      <c r="D70" s="671"/>
      <c r="E70" s="671"/>
      <c r="F70" s="671"/>
      <c r="G70" s="671"/>
      <c r="H70" s="671"/>
      <c r="I70" s="671"/>
      <c r="J70" s="671"/>
      <c r="K70" s="671"/>
      <c r="L70" s="671"/>
      <c r="M70" s="671"/>
      <c r="N70" s="671"/>
      <c r="O70" s="671"/>
      <c r="P70" s="671"/>
      <c r="Q70" s="671"/>
      <c r="R70" s="671"/>
      <c r="S70" s="671"/>
      <c r="T70" s="671"/>
      <c r="U70" s="671"/>
      <c r="V70" s="671"/>
      <c r="W70" s="671"/>
      <c r="X70" s="671"/>
      <c r="Y70" s="671"/>
      <c r="Z70" s="671"/>
      <c r="AA70" s="671"/>
      <c r="AB70" s="671"/>
      <c r="AC70" s="671"/>
      <c r="AD70" s="671"/>
      <c r="AE70" s="671"/>
      <c r="AF70" s="672"/>
      <c r="AH70" s="62"/>
      <c r="AI70" s="62"/>
      <c r="AJ70" s="62"/>
    </row>
    <row r="71" spans="1:36" ht="24" customHeight="1">
      <c r="A71" s="519"/>
      <c r="B71" s="519"/>
      <c r="C71" s="519"/>
      <c r="D71" s="519"/>
      <c r="E71" s="519"/>
      <c r="F71" s="519"/>
      <c r="G71" s="753"/>
      <c r="H71" s="519"/>
      <c r="I71" s="519"/>
      <c r="J71" s="519"/>
      <c r="K71" s="519"/>
      <c r="L71" s="519"/>
      <c r="M71" s="519"/>
      <c r="N71" s="519"/>
      <c r="O71" s="519"/>
      <c r="P71" s="519"/>
      <c r="Q71" s="519"/>
      <c r="R71" s="519"/>
      <c r="S71" s="519"/>
      <c r="T71" s="519"/>
      <c r="U71" s="519"/>
      <c r="V71" s="519"/>
      <c r="W71" s="519"/>
      <c r="X71" s="519"/>
      <c r="Y71" s="519"/>
      <c r="Z71" s="519"/>
      <c r="AA71" s="519"/>
      <c r="AB71" s="519"/>
      <c r="AC71" s="519"/>
      <c r="AD71" s="519"/>
      <c r="AE71" s="519"/>
      <c r="AF71" s="534"/>
      <c r="AH71" s="673"/>
      <c r="AI71" s="673"/>
      <c r="AJ71" s="673"/>
    </row>
    <row r="72" spans="1:36" ht="37" customHeight="1">
      <c r="A72" s="3005" t="s">
        <v>529</v>
      </c>
      <c r="B72" s="3006"/>
      <c r="C72" s="3006"/>
      <c r="D72" s="3006"/>
      <c r="E72" s="3006"/>
      <c r="F72" s="3006"/>
      <c r="G72" s="3006"/>
      <c r="H72" s="3006"/>
      <c r="I72" s="3006"/>
      <c r="J72" s="3006"/>
      <c r="K72" s="3006"/>
      <c r="L72" s="3006"/>
      <c r="M72" s="3006"/>
      <c r="N72" s="3006"/>
      <c r="O72" s="3006"/>
      <c r="P72" s="3006"/>
      <c r="Q72" s="3006"/>
      <c r="R72" s="3006"/>
      <c r="S72" s="3006"/>
      <c r="T72" s="3006"/>
      <c r="U72" s="3006"/>
      <c r="V72" s="3006"/>
      <c r="W72" s="3006"/>
      <c r="X72" s="3006"/>
      <c r="Y72" s="3006"/>
      <c r="Z72" s="3006"/>
      <c r="AA72" s="3006"/>
      <c r="AB72" s="3006"/>
      <c r="AC72" s="3006"/>
      <c r="AD72" s="3006"/>
      <c r="AE72" s="3007"/>
      <c r="AF72" s="534"/>
    </row>
    <row r="73" spans="1:36" ht="27" customHeight="1">
      <c r="A73" s="2985" t="s">
        <v>530</v>
      </c>
      <c r="B73" s="2986"/>
      <c r="C73" s="1338" t="str">
        <f t="shared" ref="C73:AE73" si="47">C4</f>
        <v>Øverste
leder</v>
      </c>
      <c r="D73" s="1338" t="str">
        <f t="shared" si="47"/>
        <v>Øverste
leder</v>
      </c>
      <c r="E73" s="1339" t="str">
        <f t="shared" si="47"/>
        <v>Øvrig
leder</v>
      </c>
      <c r="F73" s="1339" t="str">
        <f t="shared" si="47"/>
        <v>Øvrig
leder</v>
      </c>
      <c r="G73" s="1339" t="str">
        <f t="shared" si="47"/>
        <v>Lærer</v>
      </c>
      <c r="H73" s="1339" t="str">
        <f t="shared" si="47"/>
        <v>Lærer</v>
      </c>
      <c r="I73" s="1339" t="str">
        <f t="shared" si="47"/>
        <v>Lærer</v>
      </c>
      <c r="J73" s="1339" t="str">
        <f t="shared" si="47"/>
        <v>Lærer</v>
      </c>
      <c r="K73" s="1339" t="str">
        <f t="shared" si="47"/>
        <v>Lærer</v>
      </c>
      <c r="L73" s="1339" t="str">
        <f t="shared" si="47"/>
        <v>Lærer</v>
      </c>
      <c r="M73" s="1339" t="str">
        <f t="shared" si="47"/>
        <v>Lærer</v>
      </c>
      <c r="N73" s="1339" t="str">
        <f t="shared" si="47"/>
        <v>Lærer</v>
      </c>
      <c r="O73" s="1339" t="str">
        <f t="shared" si="47"/>
        <v>Lærer</v>
      </c>
      <c r="P73" s="1339" t="str">
        <f t="shared" si="47"/>
        <v>Lærer</v>
      </c>
      <c r="Q73" s="1339" t="str">
        <f t="shared" si="47"/>
        <v>Lærer</v>
      </c>
      <c r="R73" s="1339" t="str">
        <f t="shared" si="47"/>
        <v>Lærer</v>
      </c>
      <c r="S73" s="1339" t="str">
        <f t="shared" si="47"/>
        <v>Lærer</v>
      </c>
      <c r="T73" s="1339" t="str">
        <f t="shared" si="47"/>
        <v>Lærer</v>
      </c>
      <c r="U73" s="1339" t="str">
        <f t="shared" si="47"/>
        <v>Lærer</v>
      </c>
      <c r="V73" s="1339" t="str">
        <f t="shared" si="47"/>
        <v>Lærer</v>
      </c>
      <c r="W73" s="1339" t="str">
        <f t="shared" si="47"/>
        <v>Lærer</v>
      </c>
      <c r="X73" s="1339" t="str">
        <f t="shared" si="47"/>
        <v>Lærer</v>
      </c>
      <c r="Y73" s="1339" t="str">
        <f t="shared" si="47"/>
        <v>Lærer</v>
      </c>
      <c r="Z73" s="1339" t="str">
        <f t="shared" si="47"/>
        <v>Lærer</v>
      </c>
      <c r="AA73" s="1339" t="str">
        <f t="shared" si="47"/>
        <v>Lærer</v>
      </c>
      <c r="AB73" s="1339" t="str">
        <f t="shared" si="47"/>
        <v>Lærer</v>
      </c>
      <c r="AC73" s="1339" t="str">
        <f t="shared" si="47"/>
        <v>Lærer</v>
      </c>
      <c r="AD73" s="1339" t="str">
        <f t="shared" si="47"/>
        <v>Timelønnet</v>
      </c>
      <c r="AE73" s="1339" t="str">
        <f t="shared" si="47"/>
        <v>Timelønnet</v>
      </c>
      <c r="AF73" s="526"/>
    </row>
    <row r="74" spans="1:36" ht="18" customHeight="1">
      <c r="A74" s="3012" t="s">
        <v>1481</v>
      </c>
      <c r="B74" s="3013"/>
      <c r="C74" s="528"/>
      <c r="D74" s="528"/>
      <c r="E74" s="528"/>
      <c r="F74" s="528"/>
      <c r="G74" s="528"/>
      <c r="H74" s="528"/>
      <c r="I74" s="528"/>
      <c r="J74" s="528"/>
      <c r="K74" s="528"/>
      <c r="L74" s="528"/>
      <c r="M74" s="528"/>
      <c r="N74" s="528"/>
      <c r="O74" s="528"/>
      <c r="P74" s="528"/>
      <c r="Q74" s="528"/>
      <c r="R74" s="528"/>
      <c r="S74" s="528"/>
      <c r="T74" s="528"/>
      <c r="U74" s="528"/>
      <c r="V74" s="528"/>
      <c r="W74" s="528"/>
      <c r="X74" s="528"/>
      <c r="Y74" s="528"/>
      <c r="Z74" s="528"/>
      <c r="AA74" s="528"/>
      <c r="AB74" s="528"/>
      <c r="AC74" s="528"/>
      <c r="AD74" s="528"/>
      <c r="AE74" s="528"/>
      <c r="AF74" s="519"/>
    </row>
    <row r="75" spans="1:36" ht="18" customHeight="1">
      <c r="A75" s="3012" t="s">
        <v>531</v>
      </c>
      <c r="B75" s="3013"/>
      <c r="C75" s="528"/>
      <c r="D75" s="528"/>
      <c r="E75" s="528"/>
      <c r="F75" s="528"/>
      <c r="G75" s="528"/>
      <c r="H75" s="528"/>
      <c r="I75" s="528"/>
      <c r="J75" s="528"/>
      <c r="K75" s="528"/>
      <c r="L75" s="528"/>
      <c r="M75" s="528"/>
      <c r="N75" s="528"/>
      <c r="O75" s="528"/>
      <c r="P75" s="528"/>
      <c r="Q75" s="528"/>
      <c r="R75" s="528"/>
      <c r="S75" s="528"/>
      <c r="T75" s="528"/>
      <c r="U75" s="528"/>
      <c r="V75" s="528"/>
      <c r="W75" s="528"/>
      <c r="X75" s="528"/>
      <c r="Y75" s="528"/>
      <c r="Z75" s="528"/>
      <c r="AA75" s="528"/>
      <c r="AB75" s="528"/>
      <c r="AC75" s="528"/>
      <c r="AD75" s="528"/>
      <c r="AE75" s="528"/>
      <c r="AF75" s="519"/>
    </row>
    <row r="76" spans="1:36" ht="18" customHeight="1">
      <c r="A76" s="3012" t="s">
        <v>1482</v>
      </c>
      <c r="B76" s="3013"/>
      <c r="C76" s="528"/>
      <c r="D76" s="528"/>
      <c r="E76" s="528"/>
      <c r="F76" s="528"/>
      <c r="G76" s="528"/>
      <c r="H76" s="528"/>
      <c r="I76" s="528"/>
      <c r="J76" s="528"/>
      <c r="K76" s="528"/>
      <c r="L76" s="528"/>
      <c r="M76" s="528"/>
      <c r="N76" s="528"/>
      <c r="O76" s="528"/>
      <c r="P76" s="528"/>
      <c r="Q76" s="528"/>
      <c r="R76" s="528"/>
      <c r="S76" s="528"/>
      <c r="T76" s="528"/>
      <c r="U76" s="528"/>
      <c r="V76" s="528"/>
      <c r="W76" s="528"/>
      <c r="X76" s="528"/>
      <c r="Y76" s="528"/>
      <c r="Z76" s="528"/>
      <c r="AA76" s="528"/>
      <c r="AB76" s="528"/>
      <c r="AC76" s="528"/>
      <c r="AD76" s="528"/>
      <c r="AE76" s="528"/>
      <c r="AF76" s="529"/>
    </row>
    <row r="77" spans="1:36" ht="18" hidden="1" customHeight="1">
      <c r="A77" s="869"/>
      <c r="B77" s="1340"/>
      <c r="C77" s="528"/>
      <c r="D77" s="528"/>
      <c r="E77" s="528"/>
      <c r="F77" s="528"/>
      <c r="G77" s="528"/>
      <c r="H77" s="528"/>
      <c r="I77" s="528"/>
      <c r="J77" s="528"/>
      <c r="K77" s="528"/>
      <c r="L77" s="528"/>
      <c r="M77" s="528"/>
      <c r="N77" s="528"/>
      <c r="O77" s="528"/>
      <c r="P77" s="528"/>
      <c r="Q77" s="528"/>
      <c r="R77" s="528"/>
      <c r="S77" s="528"/>
      <c r="T77" s="528"/>
      <c r="U77" s="528"/>
      <c r="V77" s="528"/>
      <c r="W77" s="528"/>
      <c r="X77" s="528"/>
      <c r="Y77" s="528"/>
      <c r="Z77" s="528"/>
      <c r="AA77" s="528"/>
      <c r="AB77" s="528"/>
      <c r="AC77" s="528"/>
      <c r="AD77" s="528"/>
      <c r="AE77" s="528"/>
      <c r="AF77" s="529"/>
    </row>
    <row r="78" spans="1:36" ht="18" customHeight="1">
      <c r="A78" s="3012" t="s">
        <v>532</v>
      </c>
      <c r="B78" s="3013"/>
      <c r="C78" s="528"/>
      <c r="D78" s="528"/>
      <c r="E78" s="528"/>
      <c r="F78" s="528"/>
      <c r="G78" s="528"/>
      <c r="H78" s="528"/>
      <c r="I78" s="528"/>
      <c r="J78" s="528"/>
      <c r="K78" s="528"/>
      <c r="L78" s="528"/>
      <c r="M78" s="528"/>
      <c r="N78" s="528"/>
      <c r="O78" s="528"/>
      <c r="P78" s="528"/>
      <c r="Q78" s="528"/>
      <c r="R78" s="528"/>
      <c r="S78" s="528"/>
      <c r="T78" s="528"/>
      <c r="U78" s="528"/>
      <c r="V78" s="528"/>
      <c r="W78" s="528"/>
      <c r="X78" s="528"/>
      <c r="Y78" s="528"/>
      <c r="Z78" s="528"/>
      <c r="AA78" s="528"/>
      <c r="AB78" s="528"/>
      <c r="AC78" s="528"/>
      <c r="AD78" s="528"/>
      <c r="AE78" s="528"/>
      <c r="AF78" s="529"/>
    </row>
    <row r="79" spans="1:36" ht="18" customHeight="1">
      <c r="A79" s="3012" t="s">
        <v>1487</v>
      </c>
      <c r="B79" s="3013"/>
      <c r="C79" s="528"/>
      <c r="D79" s="528"/>
      <c r="E79" s="528"/>
      <c r="F79" s="528"/>
      <c r="G79" s="528"/>
      <c r="H79" s="528"/>
      <c r="I79" s="528"/>
      <c r="J79" s="528"/>
      <c r="K79" s="528"/>
      <c r="L79" s="528"/>
      <c r="M79" s="528"/>
      <c r="N79" s="528"/>
      <c r="O79" s="528"/>
      <c r="P79" s="528"/>
      <c r="Q79" s="528"/>
      <c r="R79" s="528"/>
      <c r="S79" s="528"/>
      <c r="T79" s="528"/>
      <c r="U79" s="528"/>
      <c r="V79" s="528"/>
      <c r="W79" s="528"/>
      <c r="X79" s="528"/>
      <c r="Y79" s="528"/>
      <c r="Z79" s="528"/>
      <c r="AA79" s="528"/>
      <c r="AB79" s="528"/>
      <c r="AC79" s="528"/>
      <c r="AD79" s="528"/>
      <c r="AE79" s="528"/>
      <c r="AF79" s="519"/>
    </row>
    <row r="80" spans="1:36" ht="18" customHeight="1">
      <c r="A80" s="3012" t="s">
        <v>533</v>
      </c>
      <c r="B80" s="3013"/>
      <c r="C80" s="528"/>
      <c r="D80" s="528"/>
      <c r="E80" s="528"/>
      <c r="F80" s="528"/>
      <c r="G80" s="528"/>
      <c r="H80" s="528"/>
      <c r="I80" s="528"/>
      <c r="J80" s="528"/>
      <c r="K80" s="528"/>
      <c r="L80" s="528"/>
      <c r="M80" s="528"/>
      <c r="N80" s="528"/>
      <c r="O80" s="528"/>
      <c r="P80" s="528"/>
      <c r="Q80" s="528"/>
      <c r="R80" s="528"/>
      <c r="S80" s="528"/>
      <c r="T80" s="528"/>
      <c r="U80" s="528"/>
      <c r="V80" s="528"/>
      <c r="W80" s="528"/>
      <c r="X80" s="528"/>
      <c r="Y80" s="528"/>
      <c r="Z80" s="528"/>
      <c r="AA80" s="528"/>
      <c r="AB80" s="528"/>
      <c r="AC80" s="528"/>
      <c r="AD80" s="528"/>
      <c r="AE80" s="528"/>
      <c r="AF80" s="519"/>
    </row>
    <row r="81" spans="1:34" ht="18" customHeight="1" thickBot="1">
      <c r="A81" s="3012" t="s">
        <v>534</v>
      </c>
      <c r="B81" s="3013"/>
      <c r="C81" s="528"/>
      <c r="D81" s="528"/>
      <c r="E81" s="528"/>
      <c r="F81" s="528"/>
      <c r="G81" s="528"/>
      <c r="H81" s="528"/>
      <c r="I81" s="528"/>
      <c r="J81" s="528"/>
      <c r="K81" s="528"/>
      <c r="L81" s="528"/>
      <c r="M81" s="528"/>
      <c r="N81" s="528"/>
      <c r="O81" s="528"/>
      <c r="P81" s="528"/>
      <c r="Q81" s="528"/>
      <c r="R81" s="528"/>
      <c r="S81" s="528"/>
      <c r="T81" s="528"/>
      <c r="U81" s="528"/>
      <c r="V81" s="528"/>
      <c r="W81" s="528"/>
      <c r="X81" s="528"/>
      <c r="Y81" s="528"/>
      <c r="Z81" s="528"/>
      <c r="AA81" s="528"/>
      <c r="AB81" s="528"/>
      <c r="AC81" s="528"/>
      <c r="AD81" s="528"/>
      <c r="AE81" s="528"/>
      <c r="AF81" s="519"/>
    </row>
    <row r="82" spans="1:34" ht="14" thickBot="1">
      <c r="A82" s="1341" t="str">
        <f>"Samlet refusion for  "&amp;budgetår</f>
        <v>Samlet refusion for  2026</v>
      </c>
      <c r="B82" s="870"/>
      <c r="C82" s="1342">
        <f t="shared" ref="C82:AE82" si="48">SUM(C74:C81)</f>
        <v>0</v>
      </c>
      <c r="D82" s="1342">
        <f t="shared" ref="D82" si="49">SUM(D74:D81)</f>
        <v>0</v>
      </c>
      <c r="E82" s="1342">
        <f t="shared" si="48"/>
        <v>0</v>
      </c>
      <c r="F82" s="1342">
        <f t="shared" ref="F82" si="50">SUM(F74:F81)</f>
        <v>0</v>
      </c>
      <c r="G82" s="1342">
        <f t="shared" si="48"/>
        <v>0</v>
      </c>
      <c r="H82" s="1342">
        <f t="shared" si="48"/>
        <v>0</v>
      </c>
      <c r="I82" s="1342">
        <f t="shared" si="48"/>
        <v>0</v>
      </c>
      <c r="J82" s="1342">
        <f t="shared" si="48"/>
        <v>0</v>
      </c>
      <c r="K82" s="1342">
        <f t="shared" si="48"/>
        <v>0</v>
      </c>
      <c r="L82" s="1342">
        <f t="shared" si="48"/>
        <v>0</v>
      </c>
      <c r="M82" s="1342">
        <f t="shared" si="48"/>
        <v>0</v>
      </c>
      <c r="N82" s="1342">
        <f t="shared" si="48"/>
        <v>0</v>
      </c>
      <c r="O82" s="1342">
        <f t="shared" si="48"/>
        <v>0</v>
      </c>
      <c r="P82" s="1342">
        <f t="shared" si="48"/>
        <v>0</v>
      </c>
      <c r="Q82" s="1342">
        <f t="shared" si="48"/>
        <v>0</v>
      </c>
      <c r="R82" s="1342">
        <f t="shared" si="48"/>
        <v>0</v>
      </c>
      <c r="S82" s="1342">
        <f t="shared" si="48"/>
        <v>0</v>
      </c>
      <c r="T82" s="1342">
        <f t="shared" si="48"/>
        <v>0</v>
      </c>
      <c r="U82" s="1342">
        <f t="shared" si="48"/>
        <v>0</v>
      </c>
      <c r="V82" s="1342">
        <f t="shared" si="48"/>
        <v>0</v>
      </c>
      <c r="W82" s="1342">
        <f t="shared" ref="W82" si="51">SUM(W74:W81)</f>
        <v>0</v>
      </c>
      <c r="X82" s="1342">
        <f t="shared" ref="X82:Z82" si="52">SUM(X74:X81)</f>
        <v>0</v>
      </c>
      <c r="Y82" s="1342">
        <f t="shared" si="52"/>
        <v>0</v>
      </c>
      <c r="Z82" s="1342">
        <f t="shared" si="52"/>
        <v>0</v>
      </c>
      <c r="AA82" s="1342">
        <f t="shared" ref="AA82" si="53">SUM(AA74:AA81)</f>
        <v>0</v>
      </c>
      <c r="AB82" s="1342"/>
      <c r="AC82" s="1342">
        <f t="shared" si="48"/>
        <v>0</v>
      </c>
      <c r="AD82" s="1342">
        <f t="shared" si="48"/>
        <v>0</v>
      </c>
      <c r="AE82" s="1342">
        <f t="shared" si="48"/>
        <v>0</v>
      </c>
      <c r="AF82" s="535">
        <f>SUM(C82:AE82)</f>
        <v>0</v>
      </c>
    </row>
    <row r="83" spans="1:34" ht="19" customHeight="1" thickBot="1">
      <c r="A83" s="1343" t="str">
        <f>"Indtast forventet refusion for  "&amp;budgetår+1</f>
        <v>Indtast forventet refusion for  2027</v>
      </c>
      <c r="B83" s="871"/>
      <c r="C83" s="872"/>
      <c r="D83" s="872"/>
      <c r="E83" s="872"/>
      <c r="F83" s="872"/>
      <c r="G83" s="872"/>
      <c r="H83" s="872"/>
      <c r="I83" s="872"/>
      <c r="J83" s="872"/>
      <c r="K83" s="872"/>
      <c r="L83" s="872"/>
      <c r="M83" s="872"/>
      <c r="N83" s="872"/>
      <c r="O83" s="872"/>
      <c r="P83" s="872"/>
      <c r="Q83" s="872"/>
      <c r="R83" s="872"/>
      <c r="S83" s="872"/>
      <c r="T83" s="872"/>
      <c r="U83" s="872"/>
      <c r="V83" s="872"/>
      <c r="W83" s="872"/>
      <c r="X83" s="872"/>
      <c r="Y83" s="872"/>
      <c r="Z83" s="872"/>
      <c r="AA83" s="872"/>
      <c r="AB83" s="872"/>
      <c r="AC83" s="872"/>
      <c r="AD83" s="872"/>
      <c r="AE83" s="872"/>
      <c r="AF83" s="530">
        <f>SUM(C83:AE83)</f>
        <v>0</v>
      </c>
    </row>
    <row r="84" spans="1:34" ht="19" customHeight="1">
      <c r="A84" s="2994"/>
      <c r="B84" s="2994"/>
      <c r="C84" s="2994"/>
      <c r="D84" s="2994"/>
      <c r="E84" s="2994"/>
      <c r="F84" s="2994"/>
      <c r="G84" s="2994"/>
      <c r="H84" s="2994"/>
      <c r="I84" s="2994"/>
      <c r="J84" s="2994"/>
      <c r="K84" s="2994"/>
      <c r="L84" s="2994"/>
      <c r="M84" s="2994"/>
      <c r="N84" s="2994"/>
      <c r="O84" s="2994"/>
      <c r="P84" s="2994"/>
      <c r="Q84" s="2994"/>
      <c r="R84" s="2994"/>
      <c r="S84" s="2994"/>
      <c r="T84" s="2994"/>
      <c r="U84" s="2994"/>
      <c r="V84" s="2994"/>
      <c r="W84" s="2994"/>
      <c r="X84" s="2994"/>
      <c r="Y84" s="2994"/>
      <c r="Z84" s="2994"/>
      <c r="AA84" s="2994"/>
      <c r="AB84" s="2994"/>
      <c r="AC84" s="2994"/>
      <c r="AD84" s="2994"/>
      <c r="AE84" s="2994"/>
      <c r="AF84" s="2994"/>
    </row>
    <row r="85" spans="1:34" ht="34" customHeight="1">
      <c r="A85" s="3014" t="s">
        <v>535</v>
      </c>
      <c r="B85" s="3015"/>
      <c r="C85" s="3015"/>
      <c r="D85" s="3015"/>
      <c r="E85" s="3015"/>
      <c r="F85" s="3015"/>
      <c r="G85" s="3015"/>
      <c r="H85" s="3015"/>
      <c r="I85" s="3015"/>
      <c r="J85" s="3015"/>
      <c r="K85" s="3015"/>
      <c r="L85" s="3015"/>
      <c r="M85" s="3015"/>
      <c r="N85" s="3015"/>
      <c r="O85" s="3015"/>
      <c r="P85" s="3015"/>
      <c r="Q85" s="3015"/>
      <c r="R85" s="3015"/>
      <c r="S85" s="3015"/>
      <c r="T85" s="3015"/>
      <c r="U85" s="3015"/>
      <c r="V85" s="3015"/>
      <c r="W85" s="3015"/>
      <c r="X85" s="3015"/>
      <c r="Y85" s="3015"/>
      <c r="Z85" s="3015"/>
      <c r="AA85" s="3015"/>
      <c r="AB85" s="3015"/>
      <c r="AC85" s="3015"/>
      <c r="AD85" s="3015"/>
      <c r="AE85" s="3016"/>
      <c r="AF85" s="534"/>
      <c r="AG85" s="665"/>
    </row>
    <row r="86" spans="1:34" ht="14" thickBot="1">
      <c r="A86" s="3019" t="s">
        <v>536</v>
      </c>
      <c r="B86" s="3020"/>
      <c r="C86" s="1344">
        <v>1</v>
      </c>
      <c r="D86" s="1344">
        <v>1</v>
      </c>
      <c r="E86" s="1344">
        <v>1</v>
      </c>
      <c r="F86" s="1344">
        <v>1</v>
      </c>
      <c r="G86" s="1344">
        <v>1</v>
      </c>
      <c r="H86" s="1344">
        <v>1</v>
      </c>
      <c r="I86" s="1344">
        <v>1</v>
      </c>
      <c r="J86" s="1344">
        <v>1</v>
      </c>
      <c r="K86" s="1344">
        <v>1</v>
      </c>
      <c r="L86" s="1344">
        <v>1</v>
      </c>
      <c r="M86" s="1344">
        <v>1</v>
      </c>
      <c r="N86" s="1344">
        <v>1</v>
      </c>
      <c r="O86" s="1344">
        <v>1</v>
      </c>
      <c r="P86" s="1344">
        <v>1</v>
      </c>
      <c r="Q86" s="1344">
        <v>1</v>
      </c>
      <c r="R86" s="1344">
        <v>1</v>
      </c>
      <c r="S86" s="1344">
        <v>1</v>
      </c>
      <c r="T86" s="1344">
        <v>1</v>
      </c>
      <c r="U86" s="1344">
        <v>1</v>
      </c>
      <c r="V86" s="1344">
        <v>1</v>
      </c>
      <c r="W86" s="1344">
        <v>1</v>
      </c>
      <c r="X86" s="1344">
        <v>1</v>
      </c>
      <c r="Y86" s="1344">
        <v>1</v>
      </c>
      <c r="Z86" s="1344">
        <v>1</v>
      </c>
      <c r="AA86" s="1344">
        <v>1</v>
      </c>
      <c r="AB86" s="1344">
        <v>1</v>
      </c>
      <c r="AC86" s="1344">
        <v>1</v>
      </c>
      <c r="AD86" s="1344">
        <v>1</v>
      </c>
      <c r="AE86" s="1344">
        <v>1</v>
      </c>
      <c r="AF86" s="519"/>
      <c r="AG86" s="664"/>
    </row>
    <row r="87" spans="1:34" ht="28" hidden="1">
      <c r="A87" s="1345"/>
      <c r="B87" s="1346" t="s">
        <v>537</v>
      </c>
      <c r="C87" s="1347">
        <f>C45/E17*Prc</f>
        <v>0</v>
      </c>
      <c r="D87" s="1347">
        <f>D45/G17*Prc</f>
        <v>0</v>
      </c>
      <c r="E87" s="1347">
        <f>E45/G17*Prc</f>
        <v>0</v>
      </c>
      <c r="F87" s="1347">
        <f>F45/H17*Prc</f>
        <v>0</v>
      </c>
      <c r="G87" s="1347">
        <f t="shared" ref="G87:U87" si="54">G45/H17*Prc</f>
        <v>0</v>
      </c>
      <c r="H87" s="1347">
        <f t="shared" si="54"/>
        <v>0</v>
      </c>
      <c r="I87" s="1347">
        <f t="shared" si="54"/>
        <v>0</v>
      </c>
      <c r="J87" s="1347">
        <f t="shared" si="54"/>
        <v>0</v>
      </c>
      <c r="K87" s="1347">
        <f t="shared" si="54"/>
        <v>0</v>
      </c>
      <c r="L87" s="1347">
        <f t="shared" si="54"/>
        <v>0</v>
      </c>
      <c r="M87" s="1347">
        <f t="shared" si="54"/>
        <v>0</v>
      </c>
      <c r="N87" s="1347">
        <f t="shared" si="54"/>
        <v>0</v>
      </c>
      <c r="O87" s="1347">
        <f t="shared" si="54"/>
        <v>0</v>
      </c>
      <c r="P87" s="1347">
        <f t="shared" si="54"/>
        <v>0</v>
      </c>
      <c r="Q87" s="1347">
        <f t="shared" si="54"/>
        <v>0</v>
      </c>
      <c r="R87" s="1347">
        <f t="shared" si="54"/>
        <v>0</v>
      </c>
      <c r="S87" s="1347">
        <f t="shared" si="54"/>
        <v>0</v>
      </c>
      <c r="T87" s="1347">
        <f t="shared" si="54"/>
        <v>0</v>
      </c>
      <c r="U87" s="1347">
        <f t="shared" si="54"/>
        <v>0</v>
      </c>
      <c r="V87" s="1347">
        <f>V45/X17*Prc</f>
        <v>0</v>
      </c>
      <c r="W87" s="1347">
        <f>W45/Y17*Prc</f>
        <v>0</v>
      </c>
      <c r="X87" s="1347">
        <f>X45/Y17*Prc</f>
        <v>0</v>
      </c>
      <c r="Y87" s="1347">
        <f>Y45/Z17*Prc</f>
        <v>0</v>
      </c>
      <c r="Z87" s="1347">
        <f>Z45/AA17*Prc</f>
        <v>0</v>
      </c>
      <c r="AA87" s="1347">
        <f>AA45/AC17*Prc</f>
        <v>0</v>
      </c>
      <c r="AB87" s="1347"/>
      <c r="AC87" s="1347">
        <f>AC45/AD17*Prc</f>
        <v>0</v>
      </c>
      <c r="AD87" s="1348"/>
      <c r="AE87" s="1348"/>
      <c r="AF87" s="519"/>
      <c r="AG87" s="481"/>
    </row>
    <row r="88" spans="1:34" ht="43" hidden="1" thickBot="1">
      <c r="A88" s="1349"/>
      <c r="B88" s="1350" t="s">
        <v>538</v>
      </c>
      <c r="C88" s="1308">
        <f>C53/E17*Prc</f>
        <v>0</v>
      </c>
      <c r="D88" s="1308">
        <f>D53/G17*Prc</f>
        <v>0</v>
      </c>
      <c r="E88" s="1308">
        <f>E53/G17*Prc</f>
        <v>0</v>
      </c>
      <c r="F88" s="1308">
        <f>F53/H17*Prc</f>
        <v>0</v>
      </c>
      <c r="G88" s="1308">
        <f t="shared" ref="G88:U88" si="55">G53/H17*Prc</f>
        <v>0</v>
      </c>
      <c r="H88" s="1308">
        <f t="shared" si="55"/>
        <v>0</v>
      </c>
      <c r="I88" s="1308">
        <f t="shared" si="55"/>
        <v>0</v>
      </c>
      <c r="J88" s="1308">
        <f t="shared" si="55"/>
        <v>0</v>
      </c>
      <c r="K88" s="1308">
        <f t="shared" si="55"/>
        <v>0</v>
      </c>
      <c r="L88" s="1308">
        <f t="shared" si="55"/>
        <v>0</v>
      </c>
      <c r="M88" s="1308">
        <f t="shared" si="55"/>
        <v>0</v>
      </c>
      <c r="N88" s="1308">
        <f t="shared" si="55"/>
        <v>0</v>
      </c>
      <c r="O88" s="1308">
        <f t="shared" si="55"/>
        <v>0</v>
      </c>
      <c r="P88" s="1308">
        <f t="shared" si="55"/>
        <v>0</v>
      </c>
      <c r="Q88" s="1308">
        <f t="shared" si="55"/>
        <v>0</v>
      </c>
      <c r="R88" s="1308">
        <f t="shared" si="55"/>
        <v>0</v>
      </c>
      <c r="S88" s="1308">
        <f t="shared" si="55"/>
        <v>0</v>
      </c>
      <c r="T88" s="1308">
        <f t="shared" si="55"/>
        <v>0</v>
      </c>
      <c r="U88" s="1308">
        <f t="shared" si="55"/>
        <v>0</v>
      </c>
      <c r="V88" s="1308">
        <f>V53/X17*Prc</f>
        <v>0</v>
      </c>
      <c r="W88" s="1308">
        <f>W53/Y17*Prc</f>
        <v>0</v>
      </c>
      <c r="X88" s="1308">
        <f>X53/Y17*Prc</f>
        <v>0</v>
      </c>
      <c r="Y88" s="1308">
        <f>Y53/Z17*Prc</f>
        <v>0</v>
      </c>
      <c r="Z88" s="1308">
        <f>Z53/AA17*Prc</f>
        <v>0</v>
      </c>
      <c r="AA88" s="1308">
        <f>AA53/AC17*Prc</f>
        <v>0</v>
      </c>
      <c r="AB88" s="1308"/>
      <c r="AC88" s="1308">
        <f>AC53/AD17*Prc</f>
        <v>0</v>
      </c>
      <c r="AD88" s="1351"/>
      <c r="AE88" s="1351"/>
      <c r="AF88" s="519"/>
      <c r="AG88" s="482"/>
      <c r="AH88" s="665"/>
    </row>
    <row r="89" spans="1:34" ht="15" hidden="1" thickBot="1">
      <c r="A89" s="1349"/>
      <c r="B89" s="1350" t="s">
        <v>539</v>
      </c>
      <c r="C89" s="1308">
        <f t="shared" ref="C89:AA89" si="56">C54/3*2</f>
        <v>0</v>
      </c>
      <c r="D89" s="1308">
        <f t="shared" si="56"/>
        <v>0</v>
      </c>
      <c r="E89" s="1308">
        <f t="shared" si="56"/>
        <v>0</v>
      </c>
      <c r="F89" s="1308">
        <f t="shared" si="56"/>
        <v>0</v>
      </c>
      <c r="G89" s="1308">
        <f t="shared" si="56"/>
        <v>0</v>
      </c>
      <c r="H89" s="1308">
        <f t="shared" si="56"/>
        <v>0</v>
      </c>
      <c r="I89" s="1308">
        <f t="shared" si="56"/>
        <v>0</v>
      </c>
      <c r="J89" s="1308">
        <f t="shared" si="56"/>
        <v>0</v>
      </c>
      <c r="K89" s="1308">
        <f t="shared" si="56"/>
        <v>0</v>
      </c>
      <c r="L89" s="1308">
        <f t="shared" si="56"/>
        <v>0</v>
      </c>
      <c r="M89" s="1308">
        <f t="shared" si="56"/>
        <v>0</v>
      </c>
      <c r="N89" s="1308">
        <f t="shared" si="56"/>
        <v>0</v>
      </c>
      <c r="O89" s="1308">
        <f t="shared" si="56"/>
        <v>0</v>
      </c>
      <c r="P89" s="1308">
        <f t="shared" si="56"/>
        <v>0</v>
      </c>
      <c r="Q89" s="1308">
        <f t="shared" si="56"/>
        <v>0</v>
      </c>
      <c r="R89" s="1308">
        <f t="shared" si="56"/>
        <v>0</v>
      </c>
      <c r="S89" s="1308">
        <f t="shared" si="56"/>
        <v>0</v>
      </c>
      <c r="T89" s="1308">
        <f t="shared" si="56"/>
        <v>0</v>
      </c>
      <c r="U89" s="1308">
        <f t="shared" si="56"/>
        <v>0</v>
      </c>
      <c r="V89" s="1308">
        <f t="shared" si="56"/>
        <v>0</v>
      </c>
      <c r="W89" s="1308">
        <f t="shared" si="56"/>
        <v>0</v>
      </c>
      <c r="X89" s="1308">
        <f t="shared" si="56"/>
        <v>0</v>
      </c>
      <c r="Y89" s="1308">
        <f t="shared" si="56"/>
        <v>0</v>
      </c>
      <c r="Z89" s="1308">
        <f t="shared" si="56"/>
        <v>0</v>
      </c>
      <c r="AA89" s="1308">
        <f t="shared" si="56"/>
        <v>0</v>
      </c>
      <c r="AB89" s="1308"/>
      <c r="AC89" s="1308">
        <f>AC54/3*2</f>
        <v>0</v>
      </c>
      <c r="AD89" s="1351"/>
      <c r="AE89" s="1351"/>
      <c r="AF89" s="519"/>
      <c r="AG89" s="483"/>
      <c r="AH89" s="664"/>
    </row>
    <row r="90" spans="1:34" ht="15" hidden="1" customHeight="1">
      <c r="A90" s="1349"/>
      <c r="B90" s="1350" t="s">
        <v>540</v>
      </c>
      <c r="C90" s="1308">
        <f t="shared" ref="C90:AC90" si="57">IF(C10&gt;0,(C87*4)*2.02%,0)</f>
        <v>0</v>
      </c>
      <c r="D90" s="1308">
        <f t="shared" si="57"/>
        <v>0</v>
      </c>
      <c r="E90" s="1308">
        <f t="shared" si="57"/>
        <v>0</v>
      </c>
      <c r="F90" s="1308">
        <f t="shared" si="57"/>
        <v>0</v>
      </c>
      <c r="G90" s="1308">
        <f t="shared" si="57"/>
        <v>0</v>
      </c>
      <c r="H90" s="1308">
        <f t="shared" si="57"/>
        <v>0</v>
      </c>
      <c r="I90" s="1308">
        <f t="shared" si="57"/>
        <v>0</v>
      </c>
      <c r="J90" s="1308">
        <f t="shared" si="57"/>
        <v>0</v>
      </c>
      <c r="K90" s="1308">
        <f t="shared" si="57"/>
        <v>0</v>
      </c>
      <c r="L90" s="1308">
        <f t="shared" si="57"/>
        <v>0</v>
      </c>
      <c r="M90" s="1308">
        <f t="shared" si="57"/>
        <v>0</v>
      </c>
      <c r="N90" s="1308">
        <f t="shared" si="57"/>
        <v>0</v>
      </c>
      <c r="O90" s="1308">
        <f t="shared" si="57"/>
        <v>0</v>
      </c>
      <c r="P90" s="1308">
        <f t="shared" si="57"/>
        <v>0</v>
      </c>
      <c r="Q90" s="1308">
        <f t="shared" si="57"/>
        <v>0</v>
      </c>
      <c r="R90" s="1308">
        <f t="shared" si="57"/>
        <v>0</v>
      </c>
      <c r="S90" s="1308">
        <f t="shared" si="57"/>
        <v>0</v>
      </c>
      <c r="T90" s="1308">
        <f t="shared" si="57"/>
        <v>0</v>
      </c>
      <c r="U90" s="1308">
        <f t="shared" si="57"/>
        <v>0</v>
      </c>
      <c r="V90" s="1308">
        <f t="shared" si="57"/>
        <v>0</v>
      </c>
      <c r="W90" s="1308">
        <f t="shared" si="57"/>
        <v>0</v>
      </c>
      <c r="X90" s="1308">
        <f t="shared" si="57"/>
        <v>0</v>
      </c>
      <c r="Y90" s="1308">
        <f t="shared" si="57"/>
        <v>0</v>
      </c>
      <c r="Z90" s="1308">
        <f t="shared" si="57"/>
        <v>0</v>
      </c>
      <c r="AA90" s="1308">
        <f t="shared" si="57"/>
        <v>0</v>
      </c>
      <c r="AB90" s="1308">
        <f t="shared" si="57"/>
        <v>0</v>
      </c>
      <c r="AC90" s="1308">
        <f t="shared" si="57"/>
        <v>0</v>
      </c>
      <c r="AD90" s="1351"/>
      <c r="AE90" s="1351"/>
      <c r="AF90" s="519"/>
      <c r="AG90" s="480"/>
      <c r="AH90" s="486"/>
    </row>
    <row r="91" spans="1:34" ht="27" customHeight="1" thickBot="1">
      <c r="A91" s="3021">
        <f>budgetår-1</f>
        <v>2025</v>
      </c>
      <c r="B91" s="1350" t="str">
        <f>"Antal skyldige feriedage og særlige feriedage pr. 31.12."&amp;budgetår-1&amp;". (Anvendes til feriepengeforpligtigelse)"</f>
        <v>Antal skyldige feriedage og særlige feriedage pr. 31.12.2025. (Anvendes til feriepengeforpligtigelse)</v>
      </c>
      <c r="C91" s="1308"/>
      <c r="D91" s="1308"/>
      <c r="E91" s="1308"/>
      <c r="F91" s="1308"/>
      <c r="G91" s="1308"/>
      <c r="H91" s="1308"/>
      <c r="I91" s="1308"/>
      <c r="J91" s="1308"/>
      <c r="K91" s="1308"/>
      <c r="L91" s="1308"/>
      <c r="M91" s="1308"/>
      <c r="N91" s="1308"/>
      <c r="O91" s="1308"/>
      <c r="P91" s="1308"/>
      <c r="Q91" s="1308"/>
      <c r="R91" s="1308"/>
      <c r="S91" s="1308"/>
      <c r="T91" s="1308"/>
      <c r="U91" s="1308"/>
      <c r="V91" s="1308"/>
      <c r="W91" s="1308"/>
      <c r="X91" s="1308"/>
      <c r="Y91" s="1308"/>
      <c r="Z91" s="1308"/>
      <c r="AA91" s="1308"/>
      <c r="AB91" s="1308"/>
      <c r="AC91" s="1308"/>
      <c r="AD91" s="1351"/>
      <c r="AE91" s="1351"/>
      <c r="AF91" s="519"/>
      <c r="AG91" s="76" t="s">
        <v>541</v>
      </c>
      <c r="AH91" s="269"/>
    </row>
    <row r="92" spans="1:34" ht="39" customHeight="1" thickBot="1">
      <c r="A92" s="3022"/>
      <c r="B92" s="1352" t="str">
        <f>"Feriepengeforpligtigelse "&amp;budgetår-1&amp;""</f>
        <v>Feriepengeforpligtigelse 2025</v>
      </c>
      <c r="C92" s="1353" cm="1">
        <f t="array" ref="C92">IF(C91&gt;0,SUM((C87:C89)/21*C91)+C90)*C86</f>
        <v>0</v>
      </c>
      <c r="D92" s="1353" cm="1">
        <f t="array" ref="D92">IF(D91&gt;0,SUM((D87:D89)/21*D91)+D90)*D86</f>
        <v>0</v>
      </c>
      <c r="E92" s="1353" cm="1">
        <f t="array" ref="E92">IF(E91&gt;0,SUM((E87:E89)/21*E91)+E90)*E86</f>
        <v>0</v>
      </c>
      <c r="F92" s="1353" cm="1">
        <f t="array" ref="F92">IF(F91&gt;0,SUM((F87:F89)/21*F91)+F90)*F86</f>
        <v>0</v>
      </c>
      <c r="G92" s="1353" cm="1">
        <f t="array" ref="G92">IF(G91&gt;0,SUM((G87:G89)/21*G91)+G90)*G86</f>
        <v>0</v>
      </c>
      <c r="H92" s="1353" cm="1">
        <f t="array" ref="H92">IF(H91&gt;0,SUM((H87:H89)/21*H91)+H90)*H86</f>
        <v>0</v>
      </c>
      <c r="I92" s="1353" cm="1">
        <f t="array" ref="I92">IF(I91&gt;0,SUM((I87:I89)/21*I91)+I90)*I86</f>
        <v>0</v>
      </c>
      <c r="J92" s="1353" cm="1">
        <f t="array" ref="J92">IF(J91&gt;0,SUM((J87:J89)/21*J91)+J90)*J86</f>
        <v>0</v>
      </c>
      <c r="K92" s="1353" cm="1">
        <f t="array" ref="K92">IF(K91&gt;0,SUM((K87:K89)/21*K91)+K90)*K86</f>
        <v>0</v>
      </c>
      <c r="L92" s="1353" cm="1">
        <f t="array" ref="L92">IF(L91&gt;0,SUM((L87:L89)/21*L91)+L90)*L86</f>
        <v>0</v>
      </c>
      <c r="M92" s="1353" cm="1">
        <f t="array" ref="M92">IF(M91&gt;0,SUM((M87:M89)/21*M91)+M90)*M86</f>
        <v>0</v>
      </c>
      <c r="N92" s="1353" cm="1">
        <f t="array" ref="N92">IF(N91&gt;0,SUM((N87:N89)/21*N91)+N90)*N86</f>
        <v>0</v>
      </c>
      <c r="O92" s="1353" cm="1">
        <f t="array" ref="O92">IF(O91&gt;0,SUM((O87:O89)/21*O91)+O90)*O86</f>
        <v>0</v>
      </c>
      <c r="P92" s="1353" cm="1">
        <f t="array" ref="P92">IF(P91&gt;0,SUM((P87:P89)/21*P91)+P90)*P86</f>
        <v>0</v>
      </c>
      <c r="Q92" s="1353" cm="1">
        <f t="array" ref="Q92">IF(Q91&gt;0,SUM((Q87:Q89)/21*Q91)+Q90)*Q86</f>
        <v>0</v>
      </c>
      <c r="R92" s="1353" cm="1">
        <f t="array" ref="R92">IF(R91&gt;0,SUM((R87:R89)/21*R91)+R90)*R86</f>
        <v>0</v>
      </c>
      <c r="S92" s="1353" cm="1">
        <f t="array" ref="S92">IF(S91&gt;0,SUM((S87:S89)/21*S91)+S90)*S86</f>
        <v>0</v>
      </c>
      <c r="T92" s="1353" cm="1">
        <f t="array" ref="T92">IF(T91&gt;0,SUM((T87:T89)/21*T91)+T90)*T86</f>
        <v>0</v>
      </c>
      <c r="U92" s="1353" cm="1">
        <f t="array" ref="U92">IF(U91&gt;0,SUM((U87:U89)/21*U91)+U90)*U86</f>
        <v>0</v>
      </c>
      <c r="V92" s="1353" cm="1">
        <f t="array" ref="V92">IF(V91&gt;0,SUM((V87:V89)/21*V91)+V90)*V86</f>
        <v>0</v>
      </c>
      <c r="W92" s="1353" cm="1">
        <f t="array" ref="W92">IF(W91&gt;0,SUM((W87:W89)/21*W91)+W90)*W86</f>
        <v>0</v>
      </c>
      <c r="X92" s="1353" cm="1">
        <f t="array" ref="X92">IF(X91&gt;0,SUM((X87:X89)/21*X91)+X90)*X86</f>
        <v>0</v>
      </c>
      <c r="Y92" s="1353" cm="1">
        <f t="array" ref="Y92">IF(Y91&gt;0,SUM((Y87:Y89)/21*Y91)+Y90)*Y86</f>
        <v>0</v>
      </c>
      <c r="Z92" s="1353" cm="1">
        <f t="array" ref="Z92">IF(Z91&gt;0,SUM((Z87:Z89)/21*Z91)+Z90)*Z86</f>
        <v>0</v>
      </c>
      <c r="AA92" s="1353" cm="1">
        <f t="array" ref="AA92">IF(AA91&gt;0,SUM((AA87:AA89)/21*AA91)+AA90)*AA86</f>
        <v>0</v>
      </c>
      <c r="AB92" s="1353" cm="1">
        <f t="array" ref="AB92">IF(AB91&gt;0,SUM((AB87:AB89)/21*AB91)+AB90)*AB86</f>
        <v>0</v>
      </c>
      <c r="AC92" s="1353" cm="1">
        <f t="array" ref="AC92">IF(AC91&gt;0,SUM((AC87:AC89)/21*AC91)+AC90)*AC86</f>
        <v>0</v>
      </c>
      <c r="AD92" s="1351"/>
      <c r="AE92" s="1351"/>
      <c r="AF92" s="519"/>
      <c r="AG92" s="78" t="str">
        <f>"Feriepengeforpligtigelse "&amp;budgetår-1</f>
        <v>Feriepengeforpligtigelse 2025</v>
      </c>
      <c r="AH92" s="79">
        <f>SUM(C92:AC92)</f>
        <v>0</v>
      </c>
    </row>
    <row r="93" spans="1:34" ht="27" customHeight="1" thickBot="1">
      <c r="A93" s="3017">
        <f>budgetår</f>
        <v>2026</v>
      </c>
      <c r="B93" s="1354" t="str">
        <f>"Antal skyldige feriedage og særlige feriedage pr. 31.12."&amp;budgetår&amp;". (Anvendes til feriepengeforpligtigelse)"</f>
        <v>Antal skyldige feriedage og særlige feriedage pr. 31.12.2026. (Anvendes til feriepengeforpligtigelse)</v>
      </c>
      <c r="C93" s="1357"/>
      <c r="D93" s="1357"/>
      <c r="E93" s="1357"/>
      <c r="F93" s="1357"/>
      <c r="G93" s="1357"/>
      <c r="H93" s="1357"/>
      <c r="I93" s="1357"/>
      <c r="J93" s="1357"/>
      <c r="K93" s="1357"/>
      <c r="L93" s="1357"/>
      <c r="M93" s="1357"/>
      <c r="N93" s="1357"/>
      <c r="O93" s="1357"/>
      <c r="P93" s="1357"/>
      <c r="Q93" s="1357"/>
      <c r="R93" s="1357"/>
      <c r="S93" s="1357"/>
      <c r="T93" s="1357"/>
      <c r="U93" s="1357"/>
      <c r="V93" s="1357"/>
      <c r="W93" s="1357"/>
      <c r="X93" s="1357"/>
      <c r="Y93" s="1357"/>
      <c r="Z93" s="1357"/>
      <c r="AA93" s="1357"/>
      <c r="AB93" s="1357"/>
      <c r="AC93" s="1357"/>
      <c r="AD93" s="1358"/>
      <c r="AE93" s="1358"/>
      <c r="AF93" s="519"/>
      <c r="AG93" s="77" t="str">
        <f>"Feriepengeforpligtigelse "&amp;budgetår</f>
        <v>Feriepengeforpligtigelse 2026</v>
      </c>
      <c r="AH93" s="1359">
        <f>SUM(C94:AC94)</f>
        <v>0</v>
      </c>
    </row>
    <row r="94" spans="1:34" ht="29" customHeight="1" thickBot="1">
      <c r="A94" s="3018"/>
      <c r="B94" s="1360" t="str">
        <f>"Feriepengeforpligtigelse "&amp;budgetår&amp;""</f>
        <v>Feriepengeforpligtigelse 2026</v>
      </c>
      <c r="C94" s="1361">
        <f t="shared" ref="C94:AC94" si="58">IF(C93&gt;0,(((C55-C51)/21*C93)+((C45*4)*2.02%))*C86,0)</f>
        <v>0</v>
      </c>
      <c r="D94" s="1361">
        <f t="shared" si="58"/>
        <v>0</v>
      </c>
      <c r="E94" s="1361">
        <f t="shared" si="58"/>
        <v>0</v>
      </c>
      <c r="F94" s="1361">
        <f t="shared" si="58"/>
        <v>0</v>
      </c>
      <c r="G94" s="1361">
        <f t="shared" si="58"/>
        <v>0</v>
      </c>
      <c r="H94" s="1361">
        <f t="shared" si="58"/>
        <v>0</v>
      </c>
      <c r="I94" s="1361">
        <f t="shared" si="58"/>
        <v>0</v>
      </c>
      <c r="J94" s="1361">
        <f t="shared" si="58"/>
        <v>0</v>
      </c>
      <c r="K94" s="1361">
        <f t="shared" si="58"/>
        <v>0</v>
      </c>
      <c r="L94" s="1361">
        <f t="shared" si="58"/>
        <v>0</v>
      </c>
      <c r="M94" s="1361">
        <f t="shared" si="58"/>
        <v>0</v>
      </c>
      <c r="N94" s="1361">
        <f t="shared" si="58"/>
        <v>0</v>
      </c>
      <c r="O94" s="1361">
        <f t="shared" si="58"/>
        <v>0</v>
      </c>
      <c r="P94" s="1361">
        <f t="shared" si="58"/>
        <v>0</v>
      </c>
      <c r="Q94" s="1361">
        <f t="shared" si="58"/>
        <v>0</v>
      </c>
      <c r="R94" s="1361">
        <f t="shared" si="58"/>
        <v>0</v>
      </c>
      <c r="S94" s="1361">
        <f t="shared" si="58"/>
        <v>0</v>
      </c>
      <c r="T94" s="1361">
        <f t="shared" si="58"/>
        <v>0</v>
      </c>
      <c r="U94" s="1361">
        <f t="shared" si="58"/>
        <v>0</v>
      </c>
      <c r="V94" s="1361">
        <f t="shared" si="58"/>
        <v>0</v>
      </c>
      <c r="W94" s="1361">
        <f t="shared" si="58"/>
        <v>0</v>
      </c>
      <c r="X94" s="1361">
        <f t="shared" si="58"/>
        <v>0</v>
      </c>
      <c r="Y94" s="1361">
        <f t="shared" si="58"/>
        <v>0</v>
      </c>
      <c r="Z94" s="1361">
        <f t="shared" si="58"/>
        <v>0</v>
      </c>
      <c r="AA94" s="1361">
        <f t="shared" si="58"/>
        <v>0</v>
      </c>
      <c r="AB94" s="1361">
        <f t="shared" si="58"/>
        <v>0</v>
      </c>
      <c r="AC94" s="1361">
        <f t="shared" si="58"/>
        <v>0</v>
      </c>
      <c r="AD94" s="1361">
        <f>IF(AD67&gt;0,AD67*15%*AD86,0)</f>
        <v>0</v>
      </c>
      <c r="AE94" s="1361">
        <f>IF(AE67&gt;0,AE67*15%*AE86,0)</f>
        <v>0</v>
      </c>
      <c r="AF94" s="519"/>
      <c r="AG94" s="515" t="str">
        <f>"Forskel indgår i lønudgift  "&amp;budgetår</f>
        <v>Forskel indgår i lønudgift  2026</v>
      </c>
      <c r="AH94" s="487">
        <f>AH93-AH92</f>
        <v>0</v>
      </c>
    </row>
    <row r="95" spans="1:34" ht="27" customHeight="1" thickBot="1">
      <c r="A95" s="3010">
        <f>budgetår+1</f>
        <v>2027</v>
      </c>
      <c r="B95" s="1362" t="str">
        <f>"Antal skyldige feriedage og særlige feriedage pr. 31.12."&amp;budgetår+1&amp;". (Anvendes til feriepengeforpligtigelse)"</f>
        <v>Antal skyldige feriedage og særlige feriedage pr. 31.12.2027. (Anvendes til feriepengeforpligtigelse)</v>
      </c>
      <c r="C95" s="1308"/>
      <c r="D95" s="1308"/>
      <c r="E95" s="1308"/>
      <c r="F95" s="1308"/>
      <c r="G95" s="1308"/>
      <c r="H95" s="1308"/>
      <c r="I95" s="1308"/>
      <c r="J95" s="1308"/>
      <c r="K95" s="1308"/>
      <c r="L95" s="1308"/>
      <c r="M95" s="1308"/>
      <c r="N95" s="1308"/>
      <c r="O95" s="1308"/>
      <c r="P95" s="1308"/>
      <c r="Q95" s="1308"/>
      <c r="R95" s="1308"/>
      <c r="S95" s="1308"/>
      <c r="T95" s="1308"/>
      <c r="U95" s="1308"/>
      <c r="V95" s="1308"/>
      <c r="W95" s="1308"/>
      <c r="X95" s="1308"/>
      <c r="Y95" s="1308"/>
      <c r="Z95" s="1308"/>
      <c r="AA95" s="1308"/>
      <c r="AB95" s="1308"/>
      <c r="AC95" s="1308"/>
      <c r="AD95" s="1358"/>
      <c r="AE95" s="1358"/>
      <c r="AF95" s="519"/>
      <c r="AG95" s="77" t="str">
        <f>"Feriepengeforpligtigelse "&amp;budgetår+1</f>
        <v>Feriepengeforpligtigelse 2027</v>
      </c>
      <c r="AH95" s="1359">
        <f>SUM(C96:AC96)</f>
        <v>0</v>
      </c>
    </row>
    <row r="96" spans="1:34" ht="28" customHeight="1" thickBot="1">
      <c r="A96" s="3011"/>
      <c r="B96" s="1363" t="str">
        <f>"Feriepengeforpligtigelse "&amp;budgetår+1&amp;""</f>
        <v>Feriepengeforpligtigelse 2027</v>
      </c>
      <c r="C96" s="1364">
        <f t="shared" ref="C96:AC96" si="59">IF(C95&gt;0,(((C55-C51)/21*C95)+((C45*4)*2.02%))*C86*(1+fremskrivning),0)</f>
        <v>0</v>
      </c>
      <c r="D96" s="1364">
        <f t="shared" si="59"/>
        <v>0</v>
      </c>
      <c r="E96" s="1364">
        <f t="shared" si="59"/>
        <v>0</v>
      </c>
      <c r="F96" s="1364">
        <f t="shared" si="59"/>
        <v>0</v>
      </c>
      <c r="G96" s="1364">
        <f t="shared" si="59"/>
        <v>0</v>
      </c>
      <c r="H96" s="1364">
        <f t="shared" si="59"/>
        <v>0</v>
      </c>
      <c r="I96" s="1364">
        <f t="shared" si="59"/>
        <v>0</v>
      </c>
      <c r="J96" s="1364">
        <f t="shared" si="59"/>
        <v>0</v>
      </c>
      <c r="K96" s="1364">
        <f t="shared" si="59"/>
        <v>0</v>
      </c>
      <c r="L96" s="1364">
        <f t="shared" si="59"/>
        <v>0</v>
      </c>
      <c r="M96" s="1364">
        <f t="shared" si="59"/>
        <v>0</v>
      </c>
      <c r="N96" s="1364">
        <f t="shared" si="59"/>
        <v>0</v>
      </c>
      <c r="O96" s="1364">
        <f t="shared" si="59"/>
        <v>0</v>
      </c>
      <c r="P96" s="1364">
        <f t="shared" si="59"/>
        <v>0</v>
      </c>
      <c r="Q96" s="1364">
        <f t="shared" si="59"/>
        <v>0</v>
      </c>
      <c r="R96" s="1364">
        <f t="shared" si="59"/>
        <v>0</v>
      </c>
      <c r="S96" s="1364">
        <f t="shared" si="59"/>
        <v>0</v>
      </c>
      <c r="T96" s="1364">
        <f t="shared" si="59"/>
        <v>0</v>
      </c>
      <c r="U96" s="1364">
        <f t="shared" si="59"/>
        <v>0</v>
      </c>
      <c r="V96" s="1364">
        <f t="shared" si="59"/>
        <v>0</v>
      </c>
      <c r="W96" s="1364">
        <f t="shared" si="59"/>
        <v>0</v>
      </c>
      <c r="X96" s="1364">
        <f t="shared" si="59"/>
        <v>0</v>
      </c>
      <c r="Y96" s="1364">
        <f t="shared" si="59"/>
        <v>0</v>
      </c>
      <c r="Z96" s="1364">
        <f t="shared" si="59"/>
        <v>0</v>
      </c>
      <c r="AA96" s="1364">
        <f t="shared" si="59"/>
        <v>0</v>
      </c>
      <c r="AB96" s="1364">
        <f t="shared" si="59"/>
        <v>0</v>
      </c>
      <c r="AC96" s="1364">
        <f t="shared" si="59"/>
        <v>0</v>
      </c>
      <c r="AD96" s="1364">
        <f>IF(AD68&gt;0,AD68*15%*AD86,0)</f>
        <v>0</v>
      </c>
      <c r="AE96" s="1364">
        <f>IF(AE68&gt;0,AE68*15%*AE86,0)</f>
        <v>0</v>
      </c>
      <c r="AF96" s="519"/>
      <c r="AG96" s="515" t="str">
        <f>"Forskel indgår i budgetår "&amp;budgetår+1</f>
        <v>Forskel indgår i budgetår 2027</v>
      </c>
      <c r="AH96" s="487">
        <f>AH95-AH93</f>
        <v>0</v>
      </c>
    </row>
    <row r="97" spans="1:32" ht="19" customHeight="1" thickBot="1">
      <c r="A97" s="536"/>
      <c r="B97" s="536"/>
      <c r="C97" s="536"/>
      <c r="D97" s="536"/>
      <c r="E97" s="536"/>
      <c r="F97" s="536"/>
      <c r="G97" s="536"/>
      <c r="H97" s="536"/>
      <c r="I97" s="536"/>
      <c r="J97" s="536"/>
      <c r="K97" s="536"/>
      <c r="L97" s="536"/>
      <c r="M97" s="536"/>
      <c r="N97" s="536"/>
      <c r="O97" s="536"/>
      <c r="P97" s="536"/>
      <c r="Q97" s="536"/>
      <c r="R97" s="536"/>
      <c r="S97" s="536"/>
      <c r="T97" s="536"/>
      <c r="U97" s="536"/>
      <c r="V97" s="536"/>
      <c r="W97" s="536"/>
      <c r="X97" s="536"/>
      <c r="Y97" s="536"/>
      <c r="Z97" s="536"/>
      <c r="AA97" s="536"/>
      <c r="AB97" s="536"/>
      <c r="AC97" s="536"/>
      <c r="AD97" s="536"/>
      <c r="AE97" s="536"/>
      <c r="AF97" s="536"/>
    </row>
    <row r="98" spans="1:32" ht="19.5" customHeight="1">
      <c r="A98" s="1365" t="str">
        <f>"Lønafhængige omkostninger "&amp;budgetår&amp;""</f>
        <v>Lønafhængige omkostninger 2026</v>
      </c>
      <c r="B98" s="1366"/>
      <c r="C98" s="873" t="str">
        <f t="shared" ref="C98:AE98" si="60">C4</f>
        <v>Øverste
leder</v>
      </c>
      <c r="D98" s="873" t="str">
        <f t="shared" si="60"/>
        <v>Øverste
leder</v>
      </c>
      <c r="E98" s="873" t="str">
        <f t="shared" si="60"/>
        <v>Øvrig
leder</v>
      </c>
      <c r="F98" s="873" t="str">
        <f t="shared" si="60"/>
        <v>Øvrig
leder</v>
      </c>
      <c r="G98" s="873" t="str">
        <f t="shared" si="60"/>
        <v>Lærer</v>
      </c>
      <c r="H98" s="873" t="str">
        <f t="shared" si="60"/>
        <v>Lærer</v>
      </c>
      <c r="I98" s="873" t="str">
        <f t="shared" si="60"/>
        <v>Lærer</v>
      </c>
      <c r="J98" s="873" t="str">
        <f t="shared" si="60"/>
        <v>Lærer</v>
      </c>
      <c r="K98" s="873" t="str">
        <f t="shared" si="60"/>
        <v>Lærer</v>
      </c>
      <c r="L98" s="873" t="str">
        <f t="shared" si="60"/>
        <v>Lærer</v>
      </c>
      <c r="M98" s="873" t="str">
        <f t="shared" si="60"/>
        <v>Lærer</v>
      </c>
      <c r="N98" s="873" t="str">
        <f t="shared" si="60"/>
        <v>Lærer</v>
      </c>
      <c r="O98" s="873" t="str">
        <f t="shared" si="60"/>
        <v>Lærer</v>
      </c>
      <c r="P98" s="873" t="str">
        <f t="shared" si="60"/>
        <v>Lærer</v>
      </c>
      <c r="Q98" s="873" t="str">
        <f t="shared" si="60"/>
        <v>Lærer</v>
      </c>
      <c r="R98" s="873" t="str">
        <f t="shared" si="60"/>
        <v>Lærer</v>
      </c>
      <c r="S98" s="873" t="str">
        <f t="shared" si="60"/>
        <v>Lærer</v>
      </c>
      <c r="T98" s="873" t="str">
        <f t="shared" si="60"/>
        <v>Lærer</v>
      </c>
      <c r="U98" s="873" t="str">
        <f t="shared" si="60"/>
        <v>Lærer</v>
      </c>
      <c r="V98" s="873" t="str">
        <f t="shared" si="60"/>
        <v>Lærer</v>
      </c>
      <c r="W98" s="873" t="str">
        <f t="shared" si="60"/>
        <v>Lærer</v>
      </c>
      <c r="X98" s="873" t="str">
        <f t="shared" si="60"/>
        <v>Lærer</v>
      </c>
      <c r="Y98" s="873" t="str">
        <f t="shared" si="60"/>
        <v>Lærer</v>
      </c>
      <c r="Z98" s="873" t="str">
        <f t="shared" si="60"/>
        <v>Lærer</v>
      </c>
      <c r="AA98" s="873" t="str">
        <f t="shared" si="60"/>
        <v>Lærer</v>
      </c>
      <c r="AB98" s="873" t="str">
        <f t="shared" si="60"/>
        <v>Lærer</v>
      </c>
      <c r="AC98" s="873" t="str">
        <f t="shared" si="60"/>
        <v>Lærer</v>
      </c>
      <c r="AD98" s="873" t="str">
        <f t="shared" si="60"/>
        <v>Timelønnet</v>
      </c>
      <c r="AE98" s="873" t="str">
        <f t="shared" si="60"/>
        <v>Timelønnet</v>
      </c>
      <c r="AF98" s="531"/>
    </row>
    <row r="99" spans="1:32" ht="19.5" customHeight="1">
      <c r="A99" s="1367">
        <v>1</v>
      </c>
      <c r="B99" s="1368" t="s">
        <v>542</v>
      </c>
      <c r="C99" s="532">
        <f t="shared" ref="C99:AC99" si="61">C10*C19</f>
        <v>0</v>
      </c>
      <c r="D99" s="532">
        <f t="shared" si="61"/>
        <v>0</v>
      </c>
      <c r="E99" s="532">
        <f t="shared" si="61"/>
        <v>0</v>
      </c>
      <c r="F99" s="532">
        <f t="shared" si="61"/>
        <v>0</v>
      </c>
      <c r="G99" s="532">
        <f t="shared" si="61"/>
        <v>0</v>
      </c>
      <c r="H99" s="532">
        <f t="shared" si="61"/>
        <v>0</v>
      </c>
      <c r="I99" s="532">
        <f t="shared" si="61"/>
        <v>0</v>
      </c>
      <c r="J99" s="532">
        <f t="shared" si="61"/>
        <v>0</v>
      </c>
      <c r="K99" s="532">
        <f t="shared" si="61"/>
        <v>0</v>
      </c>
      <c r="L99" s="532">
        <f t="shared" si="61"/>
        <v>0</v>
      </c>
      <c r="M99" s="532">
        <f t="shared" si="61"/>
        <v>0</v>
      </c>
      <c r="N99" s="532">
        <f t="shared" si="61"/>
        <v>0</v>
      </c>
      <c r="O99" s="532">
        <f t="shared" si="61"/>
        <v>0</v>
      </c>
      <c r="P99" s="532">
        <f t="shared" si="61"/>
        <v>0</v>
      </c>
      <c r="Q99" s="532">
        <f t="shared" si="61"/>
        <v>0</v>
      </c>
      <c r="R99" s="532">
        <f t="shared" si="61"/>
        <v>0</v>
      </c>
      <c r="S99" s="532">
        <f t="shared" si="61"/>
        <v>0</v>
      </c>
      <c r="T99" s="532">
        <f t="shared" si="61"/>
        <v>0</v>
      </c>
      <c r="U99" s="532">
        <f t="shared" si="61"/>
        <v>0</v>
      </c>
      <c r="V99" s="532">
        <f t="shared" si="61"/>
        <v>0</v>
      </c>
      <c r="W99" s="532">
        <f t="shared" si="61"/>
        <v>0</v>
      </c>
      <c r="X99" s="532">
        <f t="shared" si="61"/>
        <v>0</v>
      </c>
      <c r="Y99" s="532">
        <f t="shared" si="61"/>
        <v>0</v>
      </c>
      <c r="Z99" s="532">
        <f t="shared" si="61"/>
        <v>0</v>
      </c>
      <c r="AA99" s="532">
        <f t="shared" si="61"/>
        <v>0</v>
      </c>
      <c r="AB99" s="532">
        <f t="shared" si="61"/>
        <v>0</v>
      </c>
      <c r="AC99" s="532">
        <f t="shared" si="61"/>
        <v>0</v>
      </c>
      <c r="AD99" s="532">
        <f>($AD$6/160.33)*AD10</f>
        <v>0</v>
      </c>
      <c r="AE99" s="532">
        <f>($AE$6/160.33)*AE10</f>
        <v>0</v>
      </c>
      <c r="AF99" s="531"/>
    </row>
    <row r="100" spans="1:32" ht="19.5" customHeight="1">
      <c r="A100" s="1369">
        <f>A99+1</f>
        <v>2</v>
      </c>
      <c r="B100" s="1370" t="str">
        <f>"Flexlønsordning: "&amp;FlexBidr&amp;" kr. pr. læ-årsværk"</f>
        <v>Flexlønsordning: 6053,688 kr. pr. læ-årsværk</v>
      </c>
      <c r="C100" s="479">
        <f t="shared" ref="C100:AD100" si="62">FlexBidr*C99/12</f>
        <v>0</v>
      </c>
      <c r="D100" s="479">
        <f t="shared" ref="D100" si="63">FlexBidr*D99/12</f>
        <v>0</v>
      </c>
      <c r="E100" s="479">
        <f t="shared" si="62"/>
        <v>0</v>
      </c>
      <c r="F100" s="479">
        <f t="shared" ref="F100" si="64">FlexBidr*F99/12</f>
        <v>0</v>
      </c>
      <c r="G100" s="479">
        <f t="shared" si="62"/>
        <v>0</v>
      </c>
      <c r="H100" s="479">
        <f t="shared" si="62"/>
        <v>0</v>
      </c>
      <c r="I100" s="479">
        <f t="shared" si="62"/>
        <v>0</v>
      </c>
      <c r="J100" s="479">
        <f t="shared" si="62"/>
        <v>0</v>
      </c>
      <c r="K100" s="479">
        <f t="shared" si="62"/>
        <v>0</v>
      </c>
      <c r="L100" s="479">
        <f t="shared" si="62"/>
        <v>0</v>
      </c>
      <c r="M100" s="479">
        <f t="shared" si="62"/>
        <v>0</v>
      </c>
      <c r="N100" s="479">
        <f t="shared" si="62"/>
        <v>0</v>
      </c>
      <c r="O100" s="479">
        <f t="shared" si="62"/>
        <v>0</v>
      </c>
      <c r="P100" s="479">
        <f t="shared" si="62"/>
        <v>0</v>
      </c>
      <c r="Q100" s="479">
        <f t="shared" si="62"/>
        <v>0</v>
      </c>
      <c r="R100" s="479">
        <f t="shared" si="62"/>
        <v>0</v>
      </c>
      <c r="S100" s="479">
        <f t="shared" si="62"/>
        <v>0</v>
      </c>
      <c r="T100" s="479">
        <f t="shared" si="62"/>
        <v>0</v>
      </c>
      <c r="U100" s="479">
        <f t="shared" si="62"/>
        <v>0</v>
      </c>
      <c r="V100" s="479">
        <f t="shared" si="62"/>
        <v>0</v>
      </c>
      <c r="W100" s="479">
        <f t="shared" ref="W100" si="65">FlexBidr*W99/12</f>
        <v>0</v>
      </c>
      <c r="X100" s="479">
        <f t="shared" ref="X100:Z100" si="66">FlexBidr*X99/12</f>
        <v>0</v>
      </c>
      <c r="Y100" s="479">
        <f t="shared" si="66"/>
        <v>0</v>
      </c>
      <c r="Z100" s="479">
        <f t="shared" si="66"/>
        <v>0</v>
      </c>
      <c r="AA100" s="479">
        <f t="shared" ref="AA100:AB100" si="67">FlexBidr*AA99/12</f>
        <v>0</v>
      </c>
      <c r="AB100" s="479">
        <f t="shared" si="67"/>
        <v>0</v>
      </c>
      <c r="AC100" s="479">
        <f t="shared" si="62"/>
        <v>0</v>
      </c>
      <c r="AD100" s="479">
        <f t="shared" si="62"/>
        <v>0</v>
      </c>
      <c r="AE100" s="479">
        <f>FlexBidr*AE99/12</f>
        <v>0</v>
      </c>
      <c r="AF100" s="192">
        <f>SUM(C100:AE100)</f>
        <v>0</v>
      </c>
    </row>
    <row r="101" spans="1:32" ht="19.5" customHeight="1" thickBot="1">
      <c r="A101" s="1369">
        <f>A100+1</f>
        <v>3</v>
      </c>
      <c r="B101" s="1370" t="str">
        <f>"Samlet betaling.: "&amp;AER&amp;" kr. pr. årsværk"</f>
        <v>Samlet betaling.: 5177 kr. pr. årsværk</v>
      </c>
      <c r="C101" s="191">
        <f t="shared" ref="C101:AD101" si="68">C99*AER/12</f>
        <v>0</v>
      </c>
      <c r="D101" s="191">
        <f t="shared" ref="D101" si="69">D99*AER/12</f>
        <v>0</v>
      </c>
      <c r="E101" s="77">
        <f t="shared" si="68"/>
        <v>0</v>
      </c>
      <c r="F101" s="77">
        <f t="shared" ref="F101" si="70">F99*AER/12</f>
        <v>0</v>
      </c>
      <c r="G101" s="77">
        <f t="shared" si="68"/>
        <v>0</v>
      </c>
      <c r="H101" s="77">
        <f t="shared" si="68"/>
        <v>0</v>
      </c>
      <c r="I101" s="77">
        <f t="shared" si="68"/>
        <v>0</v>
      </c>
      <c r="J101" s="77">
        <f t="shared" si="68"/>
        <v>0</v>
      </c>
      <c r="K101" s="77">
        <f t="shared" si="68"/>
        <v>0</v>
      </c>
      <c r="L101" s="77">
        <f t="shared" si="68"/>
        <v>0</v>
      </c>
      <c r="M101" s="77">
        <f t="shared" si="68"/>
        <v>0</v>
      </c>
      <c r="N101" s="77">
        <f t="shared" si="68"/>
        <v>0</v>
      </c>
      <c r="O101" s="77">
        <f t="shared" si="68"/>
        <v>0</v>
      </c>
      <c r="P101" s="77">
        <f t="shared" si="68"/>
        <v>0</v>
      </c>
      <c r="Q101" s="77">
        <f t="shared" si="68"/>
        <v>0</v>
      </c>
      <c r="R101" s="77">
        <f t="shared" si="68"/>
        <v>0</v>
      </c>
      <c r="S101" s="77">
        <f t="shared" si="68"/>
        <v>0</v>
      </c>
      <c r="T101" s="77">
        <f t="shared" si="68"/>
        <v>0</v>
      </c>
      <c r="U101" s="77">
        <f t="shared" si="68"/>
        <v>0</v>
      </c>
      <c r="V101" s="77">
        <f t="shared" si="68"/>
        <v>0</v>
      </c>
      <c r="W101" s="77">
        <f t="shared" ref="W101" si="71">W99*AER/12</f>
        <v>0</v>
      </c>
      <c r="X101" s="77">
        <f t="shared" ref="X101:Z101" si="72">X99*AER/12</f>
        <v>0</v>
      </c>
      <c r="Y101" s="77">
        <f t="shared" si="72"/>
        <v>0</v>
      </c>
      <c r="Z101" s="77">
        <f t="shared" si="72"/>
        <v>0</v>
      </c>
      <c r="AA101" s="77">
        <f t="shared" ref="AA101:AB101" si="73">AA99*AER/12</f>
        <v>0</v>
      </c>
      <c r="AB101" s="77">
        <f t="shared" si="73"/>
        <v>0</v>
      </c>
      <c r="AC101" s="77">
        <f t="shared" si="68"/>
        <v>0</v>
      </c>
      <c r="AD101" s="77">
        <f t="shared" si="68"/>
        <v>0</v>
      </c>
      <c r="AE101" s="77">
        <f>AE99*AER/12</f>
        <v>0</v>
      </c>
      <c r="AF101" s="192">
        <f>SUM(C101:AE101)</f>
        <v>0</v>
      </c>
    </row>
    <row r="102" spans="1:32" ht="19.5" customHeight="1" thickBot="1">
      <c r="A102" s="1369">
        <f>A101+1</f>
        <v>4</v>
      </c>
      <c r="B102" s="1371" t="s">
        <v>543</v>
      </c>
      <c r="C102" s="180">
        <f>C100+C101</f>
        <v>0</v>
      </c>
      <c r="D102" s="180">
        <f>D100+D101</f>
        <v>0</v>
      </c>
      <c r="E102" s="180">
        <f t="shared" ref="E102:AD102" si="74">E100+E101</f>
        <v>0</v>
      </c>
      <c r="F102" s="180">
        <f t="shared" ref="F102" si="75">F100+F101</f>
        <v>0</v>
      </c>
      <c r="G102" s="180">
        <f t="shared" si="74"/>
        <v>0</v>
      </c>
      <c r="H102" s="180">
        <f>H100+H101</f>
        <v>0</v>
      </c>
      <c r="I102" s="180">
        <f t="shared" si="74"/>
        <v>0</v>
      </c>
      <c r="J102" s="180">
        <f t="shared" si="74"/>
        <v>0</v>
      </c>
      <c r="K102" s="180">
        <f t="shared" si="74"/>
        <v>0</v>
      </c>
      <c r="L102" s="180">
        <f t="shared" si="74"/>
        <v>0</v>
      </c>
      <c r="M102" s="180">
        <f t="shared" si="74"/>
        <v>0</v>
      </c>
      <c r="N102" s="180">
        <f t="shared" si="74"/>
        <v>0</v>
      </c>
      <c r="O102" s="180">
        <f t="shared" si="74"/>
        <v>0</v>
      </c>
      <c r="P102" s="180">
        <f t="shared" si="74"/>
        <v>0</v>
      </c>
      <c r="Q102" s="180">
        <f t="shared" si="74"/>
        <v>0</v>
      </c>
      <c r="R102" s="180">
        <f t="shared" si="74"/>
        <v>0</v>
      </c>
      <c r="S102" s="180">
        <f t="shared" si="74"/>
        <v>0</v>
      </c>
      <c r="T102" s="180">
        <f t="shared" si="74"/>
        <v>0</v>
      </c>
      <c r="U102" s="180">
        <f t="shared" si="74"/>
        <v>0</v>
      </c>
      <c r="V102" s="180">
        <f t="shared" si="74"/>
        <v>0</v>
      </c>
      <c r="W102" s="180">
        <f t="shared" ref="W102" si="76">W100+W101</f>
        <v>0</v>
      </c>
      <c r="X102" s="180">
        <f t="shared" ref="X102:Z102" si="77">X100+X101</f>
        <v>0</v>
      </c>
      <c r="Y102" s="180">
        <f t="shared" si="77"/>
        <v>0</v>
      </c>
      <c r="Z102" s="180">
        <f t="shared" si="77"/>
        <v>0</v>
      </c>
      <c r="AA102" s="180">
        <f t="shared" ref="AA102:AB102" si="78">AA100+AA101</f>
        <v>0</v>
      </c>
      <c r="AB102" s="180">
        <f t="shared" si="78"/>
        <v>0</v>
      </c>
      <c r="AC102" s="180">
        <f t="shared" si="74"/>
        <v>0</v>
      </c>
      <c r="AD102" s="180">
        <f t="shared" si="74"/>
        <v>0</v>
      </c>
      <c r="AE102" s="180">
        <f>AE100+AE101</f>
        <v>0</v>
      </c>
      <c r="AF102" s="193">
        <f>+AF100+AF101</f>
        <v>0</v>
      </c>
    </row>
    <row r="103" spans="1:32" ht="19.5" customHeight="1">
      <c r="A103" s="1365" t="str">
        <f>"Lønafhængige omkostninger "&amp;budgetår+1&amp;""</f>
        <v>Lønafhængige omkostninger 2027</v>
      </c>
      <c r="B103" s="1366"/>
      <c r="C103" s="873" t="str">
        <f>C98</f>
        <v>Øverste
leder</v>
      </c>
      <c r="D103" s="873" t="str">
        <f>D98</f>
        <v>Øverste
leder</v>
      </c>
      <c r="E103" s="873" t="str">
        <f t="shared" ref="E103:AE103" si="79">E98</f>
        <v>Øvrig
leder</v>
      </c>
      <c r="F103" s="873" t="str">
        <f t="shared" ref="F103" si="80">F98</f>
        <v>Øvrig
leder</v>
      </c>
      <c r="G103" s="873" t="str">
        <f t="shared" si="79"/>
        <v>Lærer</v>
      </c>
      <c r="H103" s="873" t="str">
        <f t="shared" si="79"/>
        <v>Lærer</v>
      </c>
      <c r="I103" s="873" t="str">
        <f t="shared" si="79"/>
        <v>Lærer</v>
      </c>
      <c r="J103" s="873" t="str">
        <f t="shared" si="79"/>
        <v>Lærer</v>
      </c>
      <c r="K103" s="873" t="str">
        <f t="shared" si="79"/>
        <v>Lærer</v>
      </c>
      <c r="L103" s="873" t="str">
        <f t="shared" si="79"/>
        <v>Lærer</v>
      </c>
      <c r="M103" s="873" t="str">
        <f t="shared" si="79"/>
        <v>Lærer</v>
      </c>
      <c r="N103" s="873" t="str">
        <f t="shared" si="79"/>
        <v>Lærer</v>
      </c>
      <c r="O103" s="873" t="str">
        <f t="shared" si="79"/>
        <v>Lærer</v>
      </c>
      <c r="P103" s="873" t="str">
        <f t="shared" si="79"/>
        <v>Lærer</v>
      </c>
      <c r="Q103" s="873" t="str">
        <f t="shared" si="79"/>
        <v>Lærer</v>
      </c>
      <c r="R103" s="873" t="str">
        <f t="shared" si="79"/>
        <v>Lærer</v>
      </c>
      <c r="S103" s="873" t="str">
        <f t="shared" si="79"/>
        <v>Lærer</v>
      </c>
      <c r="T103" s="873" t="str">
        <f t="shared" si="79"/>
        <v>Lærer</v>
      </c>
      <c r="U103" s="873" t="str">
        <f t="shared" si="79"/>
        <v>Lærer</v>
      </c>
      <c r="V103" s="873" t="str">
        <f t="shared" si="79"/>
        <v>Lærer</v>
      </c>
      <c r="W103" s="873" t="str">
        <f t="shared" si="79"/>
        <v>Lærer</v>
      </c>
      <c r="X103" s="873" t="str">
        <f t="shared" si="79"/>
        <v>Lærer</v>
      </c>
      <c r="Y103" s="873" t="str">
        <f t="shared" si="79"/>
        <v>Lærer</v>
      </c>
      <c r="Z103" s="873" t="str">
        <f t="shared" si="79"/>
        <v>Lærer</v>
      </c>
      <c r="AA103" s="873" t="str">
        <f t="shared" si="79"/>
        <v>Lærer</v>
      </c>
      <c r="AB103" s="873" t="str">
        <f t="shared" si="79"/>
        <v>Lærer</v>
      </c>
      <c r="AC103" s="873" t="str">
        <f t="shared" si="79"/>
        <v>Lærer</v>
      </c>
      <c r="AD103" s="873" t="str">
        <f t="shared" si="79"/>
        <v>Timelønnet</v>
      </c>
      <c r="AE103" s="873" t="str">
        <f t="shared" si="79"/>
        <v>Timelønnet</v>
      </c>
      <c r="AF103" s="531"/>
    </row>
    <row r="104" spans="1:32" ht="19.5" customHeight="1">
      <c r="A104" s="1367">
        <v>1</v>
      </c>
      <c r="B104" s="1368" t="s">
        <v>542</v>
      </c>
      <c r="C104" s="532">
        <f t="shared" ref="C104:AC104" si="81">C11*C19</f>
        <v>0</v>
      </c>
      <c r="D104" s="532">
        <f t="shared" si="81"/>
        <v>0</v>
      </c>
      <c r="E104" s="532">
        <f t="shared" si="81"/>
        <v>0</v>
      </c>
      <c r="F104" s="532">
        <f t="shared" si="81"/>
        <v>0</v>
      </c>
      <c r="G104" s="532">
        <f t="shared" si="81"/>
        <v>0</v>
      </c>
      <c r="H104" s="532">
        <f t="shared" si="81"/>
        <v>0</v>
      </c>
      <c r="I104" s="532">
        <f t="shared" si="81"/>
        <v>0</v>
      </c>
      <c r="J104" s="532">
        <f t="shared" si="81"/>
        <v>0</v>
      </c>
      <c r="K104" s="532">
        <f t="shared" si="81"/>
        <v>0</v>
      </c>
      <c r="L104" s="532">
        <f t="shared" si="81"/>
        <v>0</v>
      </c>
      <c r="M104" s="532">
        <f t="shared" si="81"/>
        <v>0</v>
      </c>
      <c r="N104" s="532">
        <f t="shared" si="81"/>
        <v>0</v>
      </c>
      <c r="O104" s="532">
        <f t="shared" si="81"/>
        <v>0</v>
      </c>
      <c r="P104" s="532">
        <f t="shared" si="81"/>
        <v>0</v>
      </c>
      <c r="Q104" s="532">
        <f t="shared" si="81"/>
        <v>0</v>
      </c>
      <c r="R104" s="532">
        <f t="shared" si="81"/>
        <v>0</v>
      </c>
      <c r="S104" s="532">
        <f t="shared" si="81"/>
        <v>0</v>
      </c>
      <c r="T104" s="532">
        <f t="shared" si="81"/>
        <v>0</v>
      </c>
      <c r="U104" s="532">
        <f t="shared" si="81"/>
        <v>0</v>
      </c>
      <c r="V104" s="532">
        <f t="shared" si="81"/>
        <v>0</v>
      </c>
      <c r="W104" s="532">
        <f t="shared" si="81"/>
        <v>0</v>
      </c>
      <c r="X104" s="532">
        <f t="shared" si="81"/>
        <v>0</v>
      </c>
      <c r="Y104" s="532">
        <f t="shared" si="81"/>
        <v>0</v>
      </c>
      <c r="Z104" s="532">
        <f t="shared" si="81"/>
        <v>0</v>
      </c>
      <c r="AA104" s="532">
        <f t="shared" si="81"/>
        <v>0</v>
      </c>
      <c r="AB104" s="532">
        <f t="shared" si="81"/>
        <v>0</v>
      </c>
      <c r="AC104" s="532">
        <f t="shared" si="81"/>
        <v>0</v>
      </c>
      <c r="AD104" s="532">
        <f>($AD$6/160.33)*AD11</f>
        <v>0</v>
      </c>
      <c r="AE104" s="532">
        <f>($AE$6/160.33)*AE11</f>
        <v>0</v>
      </c>
      <c r="AF104" s="531"/>
    </row>
    <row r="105" spans="1:32" ht="19.5" customHeight="1">
      <c r="A105" s="1369">
        <f>A104+1</f>
        <v>2</v>
      </c>
      <c r="B105" s="1370" t="str">
        <f>"Flexlønsordning: "&amp;FlexBidr&amp;" kr. pr. læ-årsværk"</f>
        <v>Flexlønsordning: 6053,688 kr. pr. læ-årsværk</v>
      </c>
      <c r="C105" s="479">
        <f t="shared" ref="C105:AC105" si="82">FlexBidr*(1+fremskrivning)*C104/12</f>
        <v>0</v>
      </c>
      <c r="D105" s="479">
        <f t="shared" ref="D105" si="83">FlexBidr*(1+fremskrivning)*D104/12</f>
        <v>0</v>
      </c>
      <c r="E105" s="479">
        <f t="shared" si="82"/>
        <v>0</v>
      </c>
      <c r="F105" s="479">
        <f t="shared" ref="F105" si="84">FlexBidr*(1+fremskrivning)*F104/12</f>
        <v>0</v>
      </c>
      <c r="G105" s="479">
        <f t="shared" si="82"/>
        <v>0</v>
      </c>
      <c r="H105" s="479">
        <f t="shared" si="82"/>
        <v>0</v>
      </c>
      <c r="I105" s="479">
        <f t="shared" si="82"/>
        <v>0</v>
      </c>
      <c r="J105" s="479">
        <f t="shared" si="82"/>
        <v>0</v>
      </c>
      <c r="K105" s="479">
        <f t="shared" si="82"/>
        <v>0</v>
      </c>
      <c r="L105" s="479">
        <f t="shared" si="82"/>
        <v>0</v>
      </c>
      <c r="M105" s="479">
        <f t="shared" si="82"/>
        <v>0</v>
      </c>
      <c r="N105" s="479">
        <f t="shared" si="82"/>
        <v>0</v>
      </c>
      <c r="O105" s="479">
        <f t="shared" si="82"/>
        <v>0</v>
      </c>
      <c r="P105" s="479">
        <f t="shared" si="82"/>
        <v>0</v>
      </c>
      <c r="Q105" s="479">
        <f t="shared" si="82"/>
        <v>0</v>
      </c>
      <c r="R105" s="479">
        <f t="shared" si="82"/>
        <v>0</v>
      </c>
      <c r="S105" s="479">
        <f t="shared" si="82"/>
        <v>0</v>
      </c>
      <c r="T105" s="479">
        <f t="shared" si="82"/>
        <v>0</v>
      </c>
      <c r="U105" s="479">
        <f t="shared" si="82"/>
        <v>0</v>
      </c>
      <c r="V105" s="479">
        <f t="shared" si="82"/>
        <v>0</v>
      </c>
      <c r="W105" s="479">
        <f t="shared" si="82"/>
        <v>0</v>
      </c>
      <c r="X105" s="479">
        <f t="shared" si="82"/>
        <v>0</v>
      </c>
      <c r="Y105" s="479">
        <f t="shared" si="82"/>
        <v>0</v>
      </c>
      <c r="Z105" s="479">
        <f t="shared" si="82"/>
        <v>0</v>
      </c>
      <c r="AA105" s="479">
        <f t="shared" si="82"/>
        <v>0</v>
      </c>
      <c r="AB105" s="479">
        <f t="shared" si="82"/>
        <v>0</v>
      </c>
      <c r="AC105" s="479">
        <f t="shared" si="82"/>
        <v>0</v>
      </c>
      <c r="AD105" s="479">
        <f>FlexBidr*AD104/12*(fremskrivning+1)</f>
        <v>0</v>
      </c>
      <c r="AE105" s="479">
        <f>FlexBidr*AE104/12*(fremskrivning+1)</f>
        <v>0</v>
      </c>
      <c r="AF105" s="192">
        <f>SUM(C105:AE105)</f>
        <v>0</v>
      </c>
    </row>
    <row r="106" spans="1:32" ht="19.5" customHeight="1" thickBot="1">
      <c r="A106" s="1369">
        <f>A105+1</f>
        <v>3</v>
      </c>
      <c r="B106" s="1370" t="str">
        <f>"Samlet betaling.: "&amp;AER&amp;" kr. pr. årsværk"</f>
        <v>Samlet betaling.: 5177 kr. pr. årsværk</v>
      </c>
      <c r="C106" s="191">
        <f t="shared" ref="C106:AC106" si="85">C104*(1+fremskrivning)*AER/12</f>
        <v>0</v>
      </c>
      <c r="D106" s="191">
        <f t="shared" ref="D106" si="86">D104*(1+fremskrivning)*AER/12</f>
        <v>0</v>
      </c>
      <c r="E106" s="191">
        <f t="shared" si="85"/>
        <v>0</v>
      </c>
      <c r="F106" s="191">
        <f t="shared" ref="F106" si="87">F104*(1+fremskrivning)*AER/12</f>
        <v>0</v>
      </c>
      <c r="G106" s="191">
        <f t="shared" si="85"/>
        <v>0</v>
      </c>
      <c r="H106" s="191">
        <f t="shared" si="85"/>
        <v>0</v>
      </c>
      <c r="I106" s="191">
        <f t="shared" si="85"/>
        <v>0</v>
      </c>
      <c r="J106" s="191">
        <f t="shared" si="85"/>
        <v>0</v>
      </c>
      <c r="K106" s="191">
        <f t="shared" si="85"/>
        <v>0</v>
      </c>
      <c r="L106" s="191">
        <f t="shared" si="85"/>
        <v>0</v>
      </c>
      <c r="M106" s="191">
        <f t="shared" si="85"/>
        <v>0</v>
      </c>
      <c r="N106" s="191">
        <f t="shared" si="85"/>
        <v>0</v>
      </c>
      <c r="O106" s="191">
        <f t="shared" si="85"/>
        <v>0</v>
      </c>
      <c r="P106" s="191">
        <f t="shared" si="85"/>
        <v>0</v>
      </c>
      <c r="Q106" s="191">
        <f t="shared" si="85"/>
        <v>0</v>
      </c>
      <c r="R106" s="191">
        <f t="shared" si="85"/>
        <v>0</v>
      </c>
      <c r="S106" s="191">
        <f t="shared" si="85"/>
        <v>0</v>
      </c>
      <c r="T106" s="191">
        <f t="shared" si="85"/>
        <v>0</v>
      </c>
      <c r="U106" s="191">
        <f t="shared" si="85"/>
        <v>0</v>
      </c>
      <c r="V106" s="191">
        <f t="shared" si="85"/>
        <v>0</v>
      </c>
      <c r="W106" s="191">
        <f t="shared" si="85"/>
        <v>0</v>
      </c>
      <c r="X106" s="191">
        <f t="shared" si="85"/>
        <v>0</v>
      </c>
      <c r="Y106" s="191">
        <f t="shared" si="85"/>
        <v>0</v>
      </c>
      <c r="Z106" s="191">
        <f t="shared" si="85"/>
        <v>0</v>
      </c>
      <c r="AA106" s="191">
        <f t="shared" si="85"/>
        <v>0</v>
      </c>
      <c r="AB106" s="191">
        <f t="shared" si="85"/>
        <v>0</v>
      </c>
      <c r="AC106" s="191">
        <f t="shared" si="85"/>
        <v>0</v>
      </c>
      <c r="AD106" s="77">
        <f>AD104*AER/12*(fremskrivning+1)</f>
        <v>0</v>
      </c>
      <c r="AE106" s="77">
        <f>AE104*AER/12*(fremskrivning+1)</f>
        <v>0</v>
      </c>
      <c r="AF106" s="192">
        <f>SUM(C106:AE106)</f>
        <v>0</v>
      </c>
    </row>
    <row r="107" spans="1:32" ht="19.5" customHeight="1" thickBot="1">
      <c r="A107" s="1369">
        <f>A106+1</f>
        <v>4</v>
      </c>
      <c r="B107" s="1371" t="s">
        <v>543</v>
      </c>
      <c r="C107" s="180">
        <f>C105+C106</f>
        <v>0</v>
      </c>
      <c r="D107" s="180">
        <f>D105+D106</f>
        <v>0</v>
      </c>
      <c r="E107" s="180">
        <f t="shared" ref="E107:G107" si="88">E105+E106</f>
        <v>0</v>
      </c>
      <c r="F107" s="180">
        <f t="shared" ref="F107" si="89">F105+F106</f>
        <v>0</v>
      </c>
      <c r="G107" s="180">
        <f t="shared" si="88"/>
        <v>0</v>
      </c>
      <c r="H107" s="180">
        <f>H105+H106</f>
        <v>0</v>
      </c>
      <c r="I107" s="180">
        <f t="shared" ref="I107:AD107" si="90">I105+I106</f>
        <v>0</v>
      </c>
      <c r="J107" s="180">
        <f t="shared" si="90"/>
        <v>0</v>
      </c>
      <c r="K107" s="180">
        <f t="shared" si="90"/>
        <v>0</v>
      </c>
      <c r="L107" s="180">
        <f t="shared" si="90"/>
        <v>0</v>
      </c>
      <c r="M107" s="180">
        <f t="shared" si="90"/>
        <v>0</v>
      </c>
      <c r="N107" s="180">
        <f t="shared" si="90"/>
        <v>0</v>
      </c>
      <c r="O107" s="180">
        <f t="shared" si="90"/>
        <v>0</v>
      </c>
      <c r="P107" s="180">
        <f t="shared" si="90"/>
        <v>0</v>
      </c>
      <c r="Q107" s="180">
        <f t="shared" si="90"/>
        <v>0</v>
      </c>
      <c r="R107" s="180">
        <f t="shared" si="90"/>
        <v>0</v>
      </c>
      <c r="S107" s="180">
        <f t="shared" si="90"/>
        <v>0</v>
      </c>
      <c r="T107" s="180">
        <f t="shared" si="90"/>
        <v>0</v>
      </c>
      <c r="U107" s="180">
        <f t="shared" si="90"/>
        <v>0</v>
      </c>
      <c r="V107" s="180">
        <f t="shared" si="90"/>
        <v>0</v>
      </c>
      <c r="W107" s="180">
        <f t="shared" si="90"/>
        <v>0</v>
      </c>
      <c r="X107" s="180">
        <f t="shared" si="90"/>
        <v>0</v>
      </c>
      <c r="Y107" s="180">
        <f t="shared" si="90"/>
        <v>0</v>
      </c>
      <c r="Z107" s="180">
        <f t="shared" si="90"/>
        <v>0</v>
      </c>
      <c r="AA107" s="180">
        <f t="shared" si="90"/>
        <v>0</v>
      </c>
      <c r="AB107" s="180">
        <f t="shared" si="90"/>
        <v>0</v>
      </c>
      <c r="AC107" s="180">
        <f t="shared" si="90"/>
        <v>0</v>
      </c>
      <c r="AD107" s="180">
        <f t="shared" si="90"/>
        <v>0</v>
      </c>
      <c r="AE107" s="180">
        <f>AE105+AE106</f>
        <v>0</v>
      </c>
      <c r="AF107" s="193">
        <f>+AF105+AF106</f>
        <v>0</v>
      </c>
    </row>
    <row r="108" spans="1:32">
      <c r="B108" s="66" t="s">
        <v>544</v>
      </c>
      <c r="C108" s="363"/>
      <c r="D108" s="363"/>
      <c r="E108" s="363"/>
      <c r="F108" s="363"/>
      <c r="G108" s="363"/>
      <c r="H108" s="363"/>
      <c r="I108" s="363"/>
      <c r="J108" s="363"/>
      <c r="K108" s="363"/>
      <c r="L108" s="363"/>
      <c r="M108" s="363"/>
      <c r="N108" s="363"/>
      <c r="O108" s="363"/>
      <c r="P108" s="363"/>
      <c r="Q108" s="363"/>
      <c r="R108" s="363"/>
      <c r="S108" s="363"/>
      <c r="T108" s="363"/>
      <c r="U108" s="363"/>
      <c r="V108" s="363"/>
      <c r="W108" s="363"/>
      <c r="X108" s="363"/>
      <c r="Y108" s="363"/>
      <c r="Z108" s="363"/>
      <c r="AA108" s="363"/>
      <c r="AB108" s="363"/>
      <c r="AC108" s="363"/>
      <c r="AD108" s="363"/>
      <c r="AE108" s="363"/>
    </row>
    <row r="109" spans="1:32">
      <c r="A109" s="68"/>
      <c r="B109" s="69" t="s">
        <v>545</v>
      </c>
      <c r="C109" s="69"/>
      <c r="D109" s="69"/>
      <c r="E109" s="69"/>
      <c r="F109" s="69"/>
      <c r="G109" s="69"/>
      <c r="H109" s="69"/>
      <c r="I109" s="69"/>
      <c r="J109" s="69"/>
      <c r="K109" s="69"/>
      <c r="L109" s="69"/>
      <c r="M109" s="69"/>
      <c r="N109" s="70"/>
      <c r="O109" s="70"/>
      <c r="P109" s="69"/>
      <c r="Q109" s="69"/>
      <c r="R109" s="69"/>
      <c r="S109" s="69"/>
      <c r="T109" s="69"/>
      <c r="U109" s="69"/>
      <c r="V109" s="70"/>
      <c r="W109" s="70"/>
      <c r="X109" s="69"/>
      <c r="Y109" s="69"/>
      <c r="Z109" s="70"/>
      <c r="AA109" s="70"/>
      <c r="AB109" s="70"/>
      <c r="AC109" s="70"/>
      <c r="AD109" s="70"/>
      <c r="AE109" s="70"/>
    </row>
    <row r="110" spans="1:32" ht="16" hidden="1">
      <c r="A110" s="68"/>
      <c r="B110" s="71"/>
      <c r="C110" s="69"/>
      <c r="D110" s="69"/>
      <c r="E110" s="69"/>
      <c r="F110" s="69"/>
      <c r="G110" s="69"/>
      <c r="H110" s="69"/>
      <c r="I110" s="69"/>
      <c r="J110" s="69"/>
      <c r="K110" s="69"/>
      <c r="L110" s="69"/>
      <c r="M110" s="69"/>
      <c r="N110" s="70"/>
      <c r="O110" s="70"/>
      <c r="P110" s="69"/>
      <c r="Q110" s="69"/>
      <c r="R110" s="69"/>
      <c r="S110" s="69"/>
      <c r="T110" s="69"/>
      <c r="U110" s="69"/>
      <c r="V110" s="70"/>
      <c r="W110" s="70"/>
      <c r="X110" s="69"/>
      <c r="Y110" s="69"/>
      <c r="Z110" s="70"/>
      <c r="AA110" s="70"/>
      <c r="AB110" s="70"/>
      <c r="AC110" s="70"/>
      <c r="AD110" s="70"/>
      <c r="AE110" s="70"/>
    </row>
    <row r="111" spans="1:32" hidden="1">
      <c r="B111" s="72" t="s">
        <v>546</v>
      </c>
      <c r="C111" s="67" t="s">
        <v>547</v>
      </c>
      <c r="D111" s="67" t="s">
        <v>547</v>
      </c>
      <c r="G111" s="73">
        <f t="shared" ref="G111:AE111" si="91">IF(LEFT(G$5)&lt;&gt;"b",IF(G$21&gt;=650,650*ROUND(16.38*G$17,2)/12,G$21*ROUND(16.38*G$17,2)/12),IF(G$21&gt;=750,750*ROUND(22.41*G$17,2)/12,G$21*ROUND(22.41*G$17,2)/12))</f>
        <v>0</v>
      </c>
      <c r="H111" s="73">
        <f t="shared" si="91"/>
        <v>0</v>
      </c>
      <c r="I111" s="73">
        <f t="shared" si="91"/>
        <v>0</v>
      </c>
      <c r="J111" s="73">
        <f t="shared" si="91"/>
        <v>0</v>
      </c>
      <c r="K111" s="73">
        <f t="shared" si="91"/>
        <v>0</v>
      </c>
      <c r="L111" s="73">
        <f t="shared" si="91"/>
        <v>0</v>
      </c>
      <c r="M111" s="73">
        <f t="shared" si="91"/>
        <v>0</v>
      </c>
      <c r="N111" s="73">
        <f t="shared" si="91"/>
        <v>0</v>
      </c>
      <c r="O111" s="73">
        <f t="shared" si="91"/>
        <v>0</v>
      </c>
      <c r="P111" s="73">
        <f t="shared" si="91"/>
        <v>0</v>
      </c>
      <c r="Q111" s="73">
        <f t="shared" si="91"/>
        <v>0</v>
      </c>
      <c r="R111" s="73">
        <f t="shared" si="91"/>
        <v>0</v>
      </c>
      <c r="S111" s="73">
        <f t="shared" si="91"/>
        <v>0</v>
      </c>
      <c r="T111" s="73">
        <f t="shared" si="91"/>
        <v>0</v>
      </c>
      <c r="U111" s="73">
        <f t="shared" si="91"/>
        <v>0</v>
      </c>
      <c r="V111" s="73">
        <f t="shared" si="91"/>
        <v>0</v>
      </c>
      <c r="W111" s="73">
        <f t="shared" si="91"/>
        <v>0</v>
      </c>
      <c r="X111" s="73">
        <f t="shared" si="91"/>
        <v>0</v>
      </c>
      <c r="Y111" s="73">
        <f t="shared" si="91"/>
        <v>0</v>
      </c>
      <c r="Z111" s="73">
        <f t="shared" si="91"/>
        <v>0</v>
      </c>
      <c r="AA111" s="73">
        <f t="shared" si="91"/>
        <v>0</v>
      </c>
      <c r="AB111" s="73">
        <f t="shared" si="91"/>
        <v>0</v>
      </c>
      <c r="AC111" s="73">
        <f t="shared" si="91"/>
        <v>0</v>
      </c>
      <c r="AD111" s="73">
        <f t="shared" si="91"/>
        <v>0</v>
      </c>
      <c r="AE111" s="73">
        <f t="shared" si="91"/>
        <v>0</v>
      </c>
    </row>
    <row r="112" spans="1:32" hidden="1">
      <c r="B112" s="72" t="s">
        <v>548</v>
      </c>
      <c r="C112" s="67" t="s">
        <v>549</v>
      </c>
      <c r="D112" s="67" t="s">
        <v>549</v>
      </c>
      <c r="G112" s="73">
        <f t="shared" ref="G112:AE112" si="92">IF(LEFT(G$5)&lt;&gt;"b",IF(G$21&gt;650,IF(G$21&gt;=700,50*ROUND(98.3*G$17,2)/12,(G$21-650)*ROUND(98.3*G$17,2)/12),0),IF(G$21&gt;750,IF(G$21&gt;=800,50*ROUND(65.53*G$17,2)/12,(G$21-750)*ROUND(65.53*G$17,2)/12),0))</f>
        <v>0</v>
      </c>
      <c r="H112" s="73">
        <f t="shared" si="92"/>
        <v>0</v>
      </c>
      <c r="I112" s="73">
        <f t="shared" si="92"/>
        <v>0</v>
      </c>
      <c r="J112" s="73">
        <f t="shared" si="92"/>
        <v>0</v>
      </c>
      <c r="K112" s="73">
        <f t="shared" si="92"/>
        <v>0</v>
      </c>
      <c r="L112" s="73">
        <f t="shared" si="92"/>
        <v>0</v>
      </c>
      <c r="M112" s="73">
        <f t="shared" si="92"/>
        <v>0</v>
      </c>
      <c r="N112" s="73">
        <f t="shared" si="92"/>
        <v>0</v>
      </c>
      <c r="O112" s="73">
        <f t="shared" si="92"/>
        <v>0</v>
      </c>
      <c r="P112" s="73">
        <f t="shared" si="92"/>
        <v>0</v>
      </c>
      <c r="Q112" s="73">
        <f t="shared" si="92"/>
        <v>0</v>
      </c>
      <c r="R112" s="73">
        <f t="shared" si="92"/>
        <v>0</v>
      </c>
      <c r="S112" s="73">
        <f t="shared" si="92"/>
        <v>0</v>
      </c>
      <c r="T112" s="73">
        <f t="shared" si="92"/>
        <v>0</v>
      </c>
      <c r="U112" s="73">
        <f t="shared" si="92"/>
        <v>0</v>
      </c>
      <c r="V112" s="73">
        <f t="shared" si="92"/>
        <v>0</v>
      </c>
      <c r="W112" s="73">
        <f t="shared" si="92"/>
        <v>0</v>
      </c>
      <c r="X112" s="73">
        <f t="shared" si="92"/>
        <v>0</v>
      </c>
      <c r="Y112" s="73">
        <f t="shared" si="92"/>
        <v>0</v>
      </c>
      <c r="Z112" s="73">
        <f t="shared" si="92"/>
        <v>0</v>
      </c>
      <c r="AA112" s="73">
        <f t="shared" si="92"/>
        <v>0</v>
      </c>
      <c r="AB112" s="73">
        <f t="shared" si="92"/>
        <v>0</v>
      </c>
      <c r="AC112" s="73">
        <f t="shared" si="92"/>
        <v>0</v>
      </c>
      <c r="AD112" s="73">
        <f t="shared" si="92"/>
        <v>0</v>
      </c>
      <c r="AE112" s="73">
        <f t="shared" si="92"/>
        <v>0</v>
      </c>
    </row>
    <row r="113" spans="2:34" hidden="1">
      <c r="B113" s="72" t="s">
        <v>550</v>
      </c>
      <c r="G113" s="73">
        <f t="shared" ref="G113:AE113" si="93">IF(LEFT(G$5)&lt;&gt;"b",IF(G$21&gt;700,IF(G$21&gt;=750,50*ROUND(131.07*G$17,2)/12,(G$21-700)*ROUND(131.07*G$17,2)/12),0),IF(G$21&gt;800,IF(G$21&gt;=835,35*ROUND(131.07*G$17,2)/12,(G$21-800)*ROUND(131.07*G$17,2)/12),0))</f>
        <v>0</v>
      </c>
      <c r="H113" s="73">
        <f t="shared" si="93"/>
        <v>0</v>
      </c>
      <c r="I113" s="73">
        <f t="shared" si="93"/>
        <v>0</v>
      </c>
      <c r="J113" s="73">
        <f t="shared" si="93"/>
        <v>0</v>
      </c>
      <c r="K113" s="73">
        <f t="shared" si="93"/>
        <v>0</v>
      </c>
      <c r="L113" s="73">
        <f t="shared" si="93"/>
        <v>0</v>
      </c>
      <c r="M113" s="73">
        <f t="shared" si="93"/>
        <v>0</v>
      </c>
      <c r="N113" s="73">
        <f t="shared" si="93"/>
        <v>0</v>
      </c>
      <c r="O113" s="73">
        <f t="shared" si="93"/>
        <v>0</v>
      </c>
      <c r="P113" s="73">
        <f t="shared" si="93"/>
        <v>0</v>
      </c>
      <c r="Q113" s="73">
        <f t="shared" si="93"/>
        <v>0</v>
      </c>
      <c r="R113" s="73">
        <f t="shared" si="93"/>
        <v>0</v>
      </c>
      <c r="S113" s="73">
        <f t="shared" si="93"/>
        <v>0</v>
      </c>
      <c r="T113" s="73">
        <f t="shared" si="93"/>
        <v>0</v>
      </c>
      <c r="U113" s="73">
        <f t="shared" si="93"/>
        <v>0</v>
      </c>
      <c r="V113" s="73">
        <f t="shared" si="93"/>
        <v>0</v>
      </c>
      <c r="W113" s="73">
        <f t="shared" si="93"/>
        <v>0</v>
      </c>
      <c r="X113" s="73">
        <f t="shared" si="93"/>
        <v>0</v>
      </c>
      <c r="Y113" s="73">
        <f t="shared" si="93"/>
        <v>0</v>
      </c>
      <c r="Z113" s="73">
        <f t="shared" si="93"/>
        <v>0</v>
      </c>
      <c r="AA113" s="73">
        <f t="shared" si="93"/>
        <v>0</v>
      </c>
      <c r="AB113" s="73">
        <f t="shared" si="93"/>
        <v>0</v>
      </c>
      <c r="AC113" s="73">
        <f t="shared" si="93"/>
        <v>0</v>
      </c>
      <c r="AD113" s="73">
        <f t="shared" si="93"/>
        <v>0</v>
      </c>
      <c r="AE113" s="73">
        <f t="shared" si="93"/>
        <v>0</v>
      </c>
    </row>
    <row r="114" spans="2:34" hidden="1">
      <c r="B114" s="72" t="s">
        <v>551</v>
      </c>
      <c r="G114" s="73">
        <f t="shared" ref="G114:AE114" si="94">IF(LEFT(G$5)&lt;&gt;"b",IF(G$21&gt;750,(G$21-750)*ROUND(163.83*G$17,2)/12,0),IF(G$21&gt;835,(G$21-835)*ROUND(163.83*G$17,2)/12,0))</f>
        <v>0</v>
      </c>
      <c r="H114" s="73">
        <f t="shared" si="94"/>
        <v>0</v>
      </c>
      <c r="I114" s="73">
        <f t="shared" si="94"/>
        <v>0</v>
      </c>
      <c r="J114" s="73">
        <f t="shared" si="94"/>
        <v>0</v>
      </c>
      <c r="K114" s="73">
        <f t="shared" si="94"/>
        <v>0</v>
      </c>
      <c r="L114" s="73">
        <f t="shared" si="94"/>
        <v>0</v>
      </c>
      <c r="M114" s="73">
        <f t="shared" si="94"/>
        <v>0</v>
      </c>
      <c r="N114" s="73">
        <f t="shared" si="94"/>
        <v>0</v>
      </c>
      <c r="O114" s="73">
        <f t="shared" si="94"/>
        <v>0</v>
      </c>
      <c r="P114" s="73">
        <f t="shared" si="94"/>
        <v>0</v>
      </c>
      <c r="Q114" s="73">
        <f t="shared" si="94"/>
        <v>0</v>
      </c>
      <c r="R114" s="73">
        <f t="shared" si="94"/>
        <v>0</v>
      </c>
      <c r="S114" s="73">
        <f t="shared" si="94"/>
        <v>0</v>
      </c>
      <c r="T114" s="73">
        <f t="shared" si="94"/>
        <v>0</v>
      </c>
      <c r="U114" s="73">
        <f t="shared" si="94"/>
        <v>0</v>
      </c>
      <c r="V114" s="73">
        <f t="shared" si="94"/>
        <v>0</v>
      </c>
      <c r="W114" s="73">
        <f t="shared" si="94"/>
        <v>0</v>
      </c>
      <c r="X114" s="73">
        <f t="shared" si="94"/>
        <v>0</v>
      </c>
      <c r="Y114" s="73">
        <f t="shared" si="94"/>
        <v>0</v>
      </c>
      <c r="Z114" s="73">
        <f t="shared" si="94"/>
        <v>0</v>
      </c>
      <c r="AA114" s="73">
        <f t="shared" si="94"/>
        <v>0</v>
      </c>
      <c r="AB114" s="73">
        <f t="shared" si="94"/>
        <v>0</v>
      </c>
      <c r="AC114" s="73">
        <f t="shared" si="94"/>
        <v>0</v>
      </c>
      <c r="AD114" s="73">
        <f t="shared" si="94"/>
        <v>0</v>
      </c>
      <c r="AE114" s="73">
        <f t="shared" si="94"/>
        <v>0</v>
      </c>
    </row>
    <row r="115" spans="2:34" hidden="1">
      <c r="G115" s="73">
        <f>SUM(G111:G114)</f>
        <v>0</v>
      </c>
      <c r="H115" s="73">
        <f>SUM(H111:H114)</f>
        <v>0</v>
      </c>
      <c r="I115" s="73">
        <f t="shared" ref="I115:AD115" si="95">SUM(I111:I114)</f>
        <v>0</v>
      </c>
      <c r="J115" s="73">
        <f t="shared" si="95"/>
        <v>0</v>
      </c>
      <c r="K115" s="73">
        <f t="shared" si="95"/>
        <v>0</v>
      </c>
      <c r="L115" s="73">
        <f t="shared" si="95"/>
        <v>0</v>
      </c>
      <c r="M115" s="73">
        <f t="shared" si="95"/>
        <v>0</v>
      </c>
      <c r="N115" s="73">
        <f t="shared" si="95"/>
        <v>0</v>
      </c>
      <c r="O115" s="73">
        <f t="shared" si="95"/>
        <v>0</v>
      </c>
      <c r="P115" s="73">
        <f t="shared" si="95"/>
        <v>0</v>
      </c>
      <c r="Q115" s="73">
        <f t="shared" si="95"/>
        <v>0</v>
      </c>
      <c r="R115" s="73">
        <f t="shared" si="95"/>
        <v>0</v>
      </c>
      <c r="S115" s="73">
        <f t="shared" si="95"/>
        <v>0</v>
      </c>
      <c r="T115" s="73">
        <f t="shared" si="95"/>
        <v>0</v>
      </c>
      <c r="U115" s="73">
        <f t="shared" si="95"/>
        <v>0</v>
      </c>
      <c r="V115" s="73">
        <f t="shared" si="95"/>
        <v>0</v>
      </c>
      <c r="W115" s="73">
        <f t="shared" ref="W115" si="96">SUM(W111:W114)</f>
        <v>0</v>
      </c>
      <c r="X115" s="73">
        <f t="shared" ref="X115:Z115" si="97">SUM(X111:X114)</f>
        <v>0</v>
      </c>
      <c r="Y115" s="73">
        <f t="shared" si="97"/>
        <v>0</v>
      </c>
      <c r="Z115" s="73">
        <f t="shared" si="97"/>
        <v>0</v>
      </c>
      <c r="AA115" s="73">
        <f t="shared" ref="AA115:AB115" si="98">SUM(AA111:AA114)</f>
        <v>0</v>
      </c>
      <c r="AB115" s="73">
        <f t="shared" si="98"/>
        <v>0</v>
      </c>
      <c r="AC115" s="73">
        <f t="shared" si="95"/>
        <v>0</v>
      </c>
      <c r="AD115" s="73">
        <f t="shared" si="95"/>
        <v>0</v>
      </c>
      <c r="AE115" s="73">
        <f>SUM(AE111:AE114)</f>
        <v>0</v>
      </c>
    </row>
    <row r="116" spans="2:34" hidden="1"/>
    <row r="117" spans="2:34" hidden="1">
      <c r="C117" s="67" t="s">
        <v>552</v>
      </c>
      <c r="D117" s="67" t="s">
        <v>552</v>
      </c>
      <c r="E117" s="67" t="s">
        <v>553</v>
      </c>
      <c r="F117" s="67" t="s">
        <v>553</v>
      </c>
      <c r="G117" s="67" t="s">
        <v>554</v>
      </c>
      <c r="AF117" s="67"/>
      <c r="AG117" s="67"/>
    </row>
    <row r="118" spans="2:34" hidden="1">
      <c r="C118" s="516">
        <f>IF(C12="Orlov",0,C24*C10)</f>
        <v>0</v>
      </c>
      <c r="D118" s="516">
        <f>IF(D12="Orlov",0,D24*D10)</f>
        <v>0</v>
      </c>
      <c r="E118" s="67">
        <f>IF(E12="Orlov",0,E24*E10)</f>
        <v>0</v>
      </c>
      <c r="F118" s="67">
        <f>IF(F12="Orlov",0,F24*F10)</f>
        <v>0</v>
      </c>
      <c r="G118" s="67">
        <f t="shared" ref="G118:AC118" si="99">IF(G12="orlov",0,G25*G10)</f>
        <v>0</v>
      </c>
      <c r="H118" s="67">
        <f t="shared" si="99"/>
        <v>0</v>
      </c>
      <c r="I118" s="67">
        <f t="shared" si="99"/>
        <v>0</v>
      </c>
      <c r="J118" s="67">
        <f t="shared" si="99"/>
        <v>0</v>
      </c>
      <c r="K118" s="67">
        <f t="shared" si="99"/>
        <v>0</v>
      </c>
      <c r="L118" s="67">
        <f t="shared" si="99"/>
        <v>0</v>
      </c>
      <c r="M118" s="67">
        <f t="shared" si="99"/>
        <v>0</v>
      </c>
      <c r="N118" s="67">
        <f t="shared" si="99"/>
        <v>0</v>
      </c>
      <c r="O118" s="67">
        <f t="shared" si="99"/>
        <v>0</v>
      </c>
      <c r="P118" s="67">
        <f t="shared" si="99"/>
        <v>0</v>
      </c>
      <c r="Q118" s="67">
        <f t="shared" si="99"/>
        <v>0</v>
      </c>
      <c r="R118" s="67">
        <f t="shared" si="99"/>
        <v>0</v>
      </c>
      <c r="S118" s="67">
        <f t="shared" si="99"/>
        <v>0</v>
      </c>
      <c r="T118" s="67">
        <f t="shared" si="99"/>
        <v>0</v>
      </c>
      <c r="U118" s="67">
        <f t="shared" si="99"/>
        <v>0</v>
      </c>
      <c r="V118" s="67">
        <f t="shared" si="99"/>
        <v>0</v>
      </c>
      <c r="W118" s="67">
        <f t="shared" si="99"/>
        <v>0</v>
      </c>
      <c r="X118" s="67">
        <f t="shared" si="99"/>
        <v>0</v>
      </c>
      <c r="Y118" s="67">
        <f t="shared" si="99"/>
        <v>0</v>
      </c>
      <c r="Z118" s="67">
        <f t="shared" si="99"/>
        <v>0</v>
      </c>
      <c r="AA118" s="67">
        <f t="shared" si="99"/>
        <v>0</v>
      </c>
      <c r="AB118" s="67">
        <f t="shared" si="99"/>
        <v>0</v>
      </c>
      <c r="AC118" s="67">
        <f t="shared" si="99"/>
        <v>0</v>
      </c>
      <c r="AD118" s="67">
        <f>AD25*AD10</f>
        <v>0</v>
      </c>
      <c r="AE118" s="67">
        <f>AE25*AE10</f>
        <v>0</v>
      </c>
      <c r="AF118" s="67"/>
      <c r="AG118" s="67">
        <f>AG36*AG22</f>
        <v>0</v>
      </c>
      <c r="AH118" s="492"/>
    </row>
    <row r="119" spans="2:34" hidden="1">
      <c r="AF119" s="67"/>
      <c r="AG119" s="67"/>
      <c r="AH119" s="492"/>
    </row>
    <row r="120" spans="2:34" hidden="1">
      <c r="G120" s="67" t="s">
        <v>468</v>
      </c>
      <c r="AF120" s="67"/>
      <c r="AG120" s="67"/>
      <c r="AH120" s="492"/>
    </row>
    <row r="121" spans="2:34" hidden="1">
      <c r="G121" s="67">
        <f t="shared" ref="G121:AB121" si="100">IF(G12="Orlov",0,(G23*G19*G10))</f>
        <v>0</v>
      </c>
      <c r="H121" s="67">
        <f t="shared" si="100"/>
        <v>0</v>
      </c>
      <c r="I121" s="67">
        <f t="shared" si="100"/>
        <v>0</v>
      </c>
      <c r="J121" s="67">
        <f t="shared" si="100"/>
        <v>0</v>
      </c>
      <c r="K121" s="67">
        <f t="shared" si="100"/>
        <v>0</v>
      </c>
      <c r="L121" s="67">
        <f t="shared" si="100"/>
        <v>0</v>
      </c>
      <c r="M121" s="67">
        <f t="shared" si="100"/>
        <v>0</v>
      </c>
      <c r="N121" s="67">
        <f t="shared" si="100"/>
        <v>0</v>
      </c>
      <c r="O121" s="67">
        <f t="shared" si="100"/>
        <v>0</v>
      </c>
      <c r="P121" s="67">
        <f t="shared" si="100"/>
        <v>0</v>
      </c>
      <c r="Q121" s="67">
        <f t="shared" si="100"/>
        <v>0</v>
      </c>
      <c r="R121" s="67">
        <f t="shared" si="100"/>
        <v>0</v>
      </c>
      <c r="S121" s="67">
        <f t="shared" si="100"/>
        <v>0</v>
      </c>
      <c r="T121" s="67">
        <f t="shared" si="100"/>
        <v>0</v>
      </c>
      <c r="U121" s="67">
        <f t="shared" si="100"/>
        <v>0</v>
      </c>
      <c r="V121" s="67">
        <f t="shared" si="100"/>
        <v>0</v>
      </c>
      <c r="W121" s="67">
        <f t="shared" si="100"/>
        <v>0</v>
      </c>
      <c r="X121" s="67">
        <f t="shared" si="100"/>
        <v>0</v>
      </c>
      <c r="Y121" s="67">
        <f t="shared" si="100"/>
        <v>0</v>
      </c>
      <c r="Z121" s="67">
        <f t="shared" si="100"/>
        <v>0</v>
      </c>
      <c r="AA121" s="67">
        <f t="shared" si="100"/>
        <v>0</v>
      </c>
      <c r="AB121" s="67">
        <f t="shared" si="100"/>
        <v>0</v>
      </c>
      <c r="AC121" s="67">
        <f>AC23*AC19*AC10</f>
        <v>0</v>
      </c>
      <c r="AD121" s="67">
        <f>AD23*AD19*AD10</f>
        <v>0</v>
      </c>
      <c r="AE121" s="67">
        <f>AE23*AE19*AE10</f>
        <v>0</v>
      </c>
      <c r="AF121" s="67"/>
      <c r="AG121" s="67"/>
      <c r="AH121" s="492"/>
    </row>
    <row r="122" spans="2:34" hidden="1">
      <c r="G122" s="67">
        <f>G23*G19*G11*(1+fremskrivning)</f>
        <v>0</v>
      </c>
      <c r="AF122" s="67"/>
      <c r="AG122" s="67"/>
      <c r="AH122" s="492"/>
    </row>
    <row r="123" spans="2:34" hidden="1">
      <c r="G123" s="67" t="s">
        <v>465</v>
      </c>
      <c r="AD123" s="67" t="s">
        <v>555</v>
      </c>
      <c r="AF123" s="67"/>
      <c r="AG123" s="67"/>
      <c r="AH123" s="492"/>
    </row>
    <row r="124" spans="2:34" hidden="1">
      <c r="C124" s="67">
        <f>C35*C22</f>
        <v>0</v>
      </c>
      <c r="D124" s="67">
        <f>D35*D22</f>
        <v>0</v>
      </c>
      <c r="E124" s="67">
        <f>E35*E22</f>
        <v>0</v>
      </c>
      <c r="F124" s="67">
        <f>F35*F22</f>
        <v>0</v>
      </c>
      <c r="G124" s="67">
        <f t="shared" ref="G124:AC124" si="101">IF(G12="Orlov",0,((G22)*G19*G10))</f>
        <v>0</v>
      </c>
      <c r="H124" s="67">
        <f t="shared" si="101"/>
        <v>0</v>
      </c>
      <c r="I124" s="67">
        <f t="shared" si="101"/>
        <v>0</v>
      </c>
      <c r="J124" s="67">
        <f t="shared" si="101"/>
        <v>0</v>
      </c>
      <c r="K124" s="67">
        <f t="shared" si="101"/>
        <v>0</v>
      </c>
      <c r="L124" s="67">
        <f t="shared" si="101"/>
        <v>0</v>
      </c>
      <c r="M124" s="67">
        <f t="shared" si="101"/>
        <v>0</v>
      </c>
      <c r="N124" s="67">
        <f t="shared" si="101"/>
        <v>0</v>
      </c>
      <c r="O124" s="67">
        <f t="shared" si="101"/>
        <v>0</v>
      </c>
      <c r="P124" s="67">
        <f t="shared" si="101"/>
        <v>0</v>
      </c>
      <c r="Q124" s="67">
        <f t="shared" si="101"/>
        <v>0</v>
      </c>
      <c r="R124" s="67">
        <f t="shared" si="101"/>
        <v>0</v>
      </c>
      <c r="S124" s="67">
        <f t="shared" si="101"/>
        <v>0</v>
      </c>
      <c r="T124" s="67">
        <f t="shared" si="101"/>
        <v>0</v>
      </c>
      <c r="U124" s="67">
        <f t="shared" si="101"/>
        <v>0</v>
      </c>
      <c r="V124" s="67">
        <f t="shared" si="101"/>
        <v>0</v>
      </c>
      <c r="W124" s="67">
        <f t="shared" si="101"/>
        <v>0</v>
      </c>
      <c r="X124" s="67">
        <f t="shared" si="101"/>
        <v>0</v>
      </c>
      <c r="Y124" s="67">
        <f t="shared" si="101"/>
        <v>0</v>
      </c>
      <c r="Z124" s="67">
        <f t="shared" si="101"/>
        <v>0</v>
      </c>
      <c r="AA124" s="67">
        <f t="shared" si="101"/>
        <v>0</v>
      </c>
      <c r="AB124" s="67">
        <f t="shared" si="101"/>
        <v>0</v>
      </c>
      <c r="AC124" s="67">
        <f t="shared" si="101"/>
        <v>0</v>
      </c>
      <c r="AD124" s="67">
        <f>AD24*AD10</f>
        <v>0</v>
      </c>
      <c r="AE124" s="67">
        <f>AE24*AE10</f>
        <v>0</v>
      </c>
      <c r="AF124" s="67"/>
      <c r="AG124" s="67"/>
      <c r="AH124" s="492"/>
    </row>
    <row r="125" spans="2:34" hidden="1">
      <c r="AF125" s="67"/>
      <c r="AG125" s="67"/>
      <c r="AH125" s="492"/>
    </row>
    <row r="126" spans="2:34" hidden="1">
      <c r="G126" s="67" t="s">
        <v>556</v>
      </c>
      <c r="AF126" s="67"/>
      <c r="AG126" s="67"/>
      <c r="AH126" s="492"/>
    </row>
    <row r="127" spans="2:34" hidden="1">
      <c r="G127" s="67">
        <f t="shared" ref="G127:AC127" si="102">IF(G12="Orlov",0,(G35*G10))</f>
        <v>0</v>
      </c>
      <c r="H127" s="67">
        <f t="shared" si="102"/>
        <v>0</v>
      </c>
      <c r="I127" s="67">
        <f t="shared" si="102"/>
        <v>0</v>
      </c>
      <c r="J127" s="67">
        <f t="shared" si="102"/>
        <v>0</v>
      </c>
      <c r="K127" s="67">
        <f t="shared" si="102"/>
        <v>0</v>
      </c>
      <c r="L127" s="67">
        <f t="shared" si="102"/>
        <v>0</v>
      </c>
      <c r="M127" s="67">
        <f t="shared" si="102"/>
        <v>0</v>
      </c>
      <c r="N127" s="67">
        <f t="shared" si="102"/>
        <v>0</v>
      </c>
      <c r="O127" s="67">
        <f t="shared" si="102"/>
        <v>0</v>
      </c>
      <c r="P127" s="67">
        <f t="shared" si="102"/>
        <v>0</v>
      </c>
      <c r="Q127" s="67">
        <f t="shared" si="102"/>
        <v>0</v>
      </c>
      <c r="R127" s="67">
        <f t="shared" si="102"/>
        <v>0</v>
      </c>
      <c r="S127" s="67">
        <f t="shared" si="102"/>
        <v>0</v>
      </c>
      <c r="T127" s="67">
        <f t="shared" si="102"/>
        <v>0</v>
      </c>
      <c r="U127" s="67">
        <f t="shared" si="102"/>
        <v>0</v>
      </c>
      <c r="V127" s="67">
        <f t="shared" si="102"/>
        <v>0</v>
      </c>
      <c r="W127" s="67">
        <f t="shared" si="102"/>
        <v>0</v>
      </c>
      <c r="X127" s="67">
        <f t="shared" si="102"/>
        <v>0</v>
      </c>
      <c r="Y127" s="67">
        <f t="shared" si="102"/>
        <v>0</v>
      </c>
      <c r="Z127" s="67">
        <f t="shared" si="102"/>
        <v>0</v>
      </c>
      <c r="AA127" s="67">
        <f t="shared" si="102"/>
        <v>0</v>
      </c>
      <c r="AB127" s="67">
        <f t="shared" si="102"/>
        <v>0</v>
      </c>
      <c r="AC127" s="67">
        <f t="shared" si="102"/>
        <v>0</v>
      </c>
      <c r="AD127" s="67">
        <f>AD35*AD10</f>
        <v>0</v>
      </c>
      <c r="AE127" s="67">
        <f>AE35*AE10</f>
        <v>0</v>
      </c>
      <c r="AF127" s="67"/>
      <c r="AG127" s="67"/>
      <c r="AH127" s="492"/>
    </row>
    <row r="128" spans="2:34" hidden="1">
      <c r="G128" s="67" t="s">
        <v>557</v>
      </c>
      <c r="AF128" s="67"/>
      <c r="AG128" s="67"/>
      <c r="AH128" s="492"/>
    </row>
    <row r="129" spans="1:36" hidden="1">
      <c r="G129" s="67">
        <f t="shared" ref="G129:AC129" si="103">IF(G12="Orlov",0,G36*G10)</f>
        <v>0</v>
      </c>
      <c r="H129" s="67">
        <f t="shared" si="103"/>
        <v>0</v>
      </c>
      <c r="I129" s="67">
        <f t="shared" si="103"/>
        <v>0</v>
      </c>
      <c r="J129" s="67">
        <f t="shared" si="103"/>
        <v>0</v>
      </c>
      <c r="K129" s="67">
        <f t="shared" si="103"/>
        <v>0</v>
      </c>
      <c r="L129" s="67">
        <f t="shared" si="103"/>
        <v>0</v>
      </c>
      <c r="M129" s="67">
        <f t="shared" si="103"/>
        <v>0</v>
      </c>
      <c r="N129" s="67">
        <f t="shared" si="103"/>
        <v>0</v>
      </c>
      <c r="O129" s="67">
        <f t="shared" si="103"/>
        <v>0</v>
      </c>
      <c r="P129" s="67">
        <f t="shared" si="103"/>
        <v>0</v>
      </c>
      <c r="Q129" s="67">
        <f t="shared" si="103"/>
        <v>0</v>
      </c>
      <c r="R129" s="67">
        <f t="shared" si="103"/>
        <v>0</v>
      </c>
      <c r="S129" s="67">
        <f t="shared" si="103"/>
        <v>0</v>
      </c>
      <c r="T129" s="67">
        <f t="shared" si="103"/>
        <v>0</v>
      </c>
      <c r="U129" s="67">
        <f t="shared" si="103"/>
        <v>0</v>
      </c>
      <c r="V129" s="67">
        <f t="shared" si="103"/>
        <v>0</v>
      </c>
      <c r="W129" s="67">
        <f t="shared" si="103"/>
        <v>0</v>
      </c>
      <c r="X129" s="67">
        <f t="shared" si="103"/>
        <v>0</v>
      </c>
      <c r="Y129" s="67">
        <f t="shared" si="103"/>
        <v>0</v>
      </c>
      <c r="Z129" s="67">
        <f t="shared" si="103"/>
        <v>0</v>
      </c>
      <c r="AA129" s="67">
        <f t="shared" si="103"/>
        <v>0</v>
      </c>
      <c r="AB129" s="67">
        <f t="shared" si="103"/>
        <v>0</v>
      </c>
      <c r="AC129" s="67">
        <f t="shared" si="103"/>
        <v>0</v>
      </c>
      <c r="AF129" s="67"/>
      <c r="AG129" s="67"/>
      <c r="AH129" s="492"/>
    </row>
    <row r="130" spans="1:36" hidden="1">
      <c r="G130" s="67" t="s">
        <v>558</v>
      </c>
      <c r="AF130" s="67"/>
      <c r="AG130" s="67"/>
      <c r="AH130" s="492"/>
    </row>
    <row r="131" spans="1:36" hidden="1">
      <c r="G131" s="67">
        <f t="shared" ref="G131:AC131" si="104">IF(G12="Orlov",0,G37*G10)</f>
        <v>0</v>
      </c>
      <c r="H131" s="67">
        <f t="shared" si="104"/>
        <v>0</v>
      </c>
      <c r="I131" s="67">
        <f t="shared" si="104"/>
        <v>0</v>
      </c>
      <c r="J131" s="67">
        <f t="shared" si="104"/>
        <v>0</v>
      </c>
      <c r="K131" s="67">
        <f t="shared" si="104"/>
        <v>0</v>
      </c>
      <c r="L131" s="67">
        <f t="shared" si="104"/>
        <v>0</v>
      </c>
      <c r="M131" s="67">
        <f t="shared" si="104"/>
        <v>0</v>
      </c>
      <c r="N131" s="67">
        <f t="shared" si="104"/>
        <v>0</v>
      </c>
      <c r="O131" s="67">
        <f t="shared" si="104"/>
        <v>0</v>
      </c>
      <c r="P131" s="67">
        <f t="shared" si="104"/>
        <v>0</v>
      </c>
      <c r="Q131" s="67">
        <f t="shared" si="104"/>
        <v>0</v>
      </c>
      <c r="R131" s="67">
        <f t="shared" si="104"/>
        <v>0</v>
      </c>
      <c r="S131" s="67">
        <f t="shared" si="104"/>
        <v>0</v>
      </c>
      <c r="T131" s="67">
        <f t="shared" si="104"/>
        <v>0</v>
      </c>
      <c r="U131" s="67">
        <f t="shared" si="104"/>
        <v>0</v>
      </c>
      <c r="V131" s="67">
        <f t="shared" si="104"/>
        <v>0</v>
      </c>
      <c r="W131" s="67">
        <f t="shared" si="104"/>
        <v>0</v>
      </c>
      <c r="X131" s="67">
        <f t="shared" si="104"/>
        <v>0</v>
      </c>
      <c r="Y131" s="67">
        <f t="shared" si="104"/>
        <v>0</v>
      </c>
      <c r="Z131" s="67">
        <f t="shared" si="104"/>
        <v>0</v>
      </c>
      <c r="AA131" s="67">
        <f t="shared" si="104"/>
        <v>0</v>
      </c>
      <c r="AB131" s="67">
        <f t="shared" si="104"/>
        <v>0</v>
      </c>
      <c r="AC131" s="67">
        <f t="shared" si="104"/>
        <v>0</v>
      </c>
      <c r="AD131" s="67">
        <f>AD37*AD10</f>
        <v>0</v>
      </c>
      <c r="AE131" s="67">
        <f>AE37*AE10</f>
        <v>0</v>
      </c>
      <c r="AF131" s="67"/>
      <c r="AG131" s="67"/>
      <c r="AH131" s="492"/>
    </row>
    <row r="132" spans="1:36" hidden="1">
      <c r="G132" s="67" t="s">
        <v>559</v>
      </c>
      <c r="AF132" s="67"/>
      <c r="AG132" s="67"/>
      <c r="AH132" s="492"/>
    </row>
    <row r="133" spans="1:36" hidden="1">
      <c r="G133" s="73"/>
      <c r="H133" s="73"/>
      <c r="I133" s="73"/>
      <c r="J133" s="73"/>
      <c r="K133" s="73"/>
      <c r="L133" s="73"/>
      <c r="M133" s="73"/>
      <c r="N133" s="73"/>
      <c r="O133" s="73"/>
      <c r="P133" s="73"/>
      <c r="Q133" s="73"/>
      <c r="R133" s="73"/>
      <c r="S133" s="73"/>
      <c r="T133" s="73"/>
      <c r="U133" s="73"/>
      <c r="V133" s="73"/>
      <c r="W133" s="73"/>
      <c r="X133" s="73"/>
      <c r="Y133" s="73"/>
      <c r="Z133" s="73"/>
      <c r="AA133" s="73"/>
      <c r="AB133" s="73"/>
      <c r="AC133" s="73"/>
      <c r="AF133" s="67"/>
      <c r="AG133" s="67"/>
      <c r="AH133" s="492"/>
    </row>
    <row r="134" spans="1:36" hidden="1">
      <c r="C134" s="67" t="s">
        <v>560</v>
      </c>
      <c r="D134" s="67" t="s">
        <v>560</v>
      </c>
      <c r="AF134" s="67"/>
      <c r="AG134" s="67"/>
      <c r="AH134" s="492"/>
    </row>
    <row r="135" spans="1:36" s="493" customFormat="1" hidden="1">
      <c r="A135" s="537"/>
      <c r="C135" s="494">
        <f t="shared" ref="C135:AC135" si="105">IF(C12="Orlov",0,(C26+C27+C28)*C17/12*C10)</f>
        <v>0</v>
      </c>
      <c r="D135" s="494">
        <f t="shared" si="105"/>
        <v>0</v>
      </c>
      <c r="E135" s="494">
        <f t="shared" si="105"/>
        <v>0</v>
      </c>
      <c r="F135" s="494">
        <f t="shared" si="105"/>
        <v>0</v>
      </c>
      <c r="G135" s="494">
        <f t="shared" si="105"/>
        <v>0</v>
      </c>
      <c r="H135" s="494">
        <f t="shared" si="105"/>
        <v>0</v>
      </c>
      <c r="I135" s="494">
        <f t="shared" si="105"/>
        <v>0</v>
      </c>
      <c r="J135" s="494">
        <f t="shared" si="105"/>
        <v>0</v>
      </c>
      <c r="K135" s="494">
        <f t="shared" si="105"/>
        <v>0</v>
      </c>
      <c r="L135" s="494">
        <f t="shared" si="105"/>
        <v>0</v>
      </c>
      <c r="M135" s="494">
        <f t="shared" si="105"/>
        <v>0</v>
      </c>
      <c r="N135" s="494">
        <f t="shared" si="105"/>
        <v>0</v>
      </c>
      <c r="O135" s="494">
        <f t="shared" si="105"/>
        <v>0</v>
      </c>
      <c r="P135" s="494">
        <f t="shared" si="105"/>
        <v>0</v>
      </c>
      <c r="Q135" s="494">
        <f t="shared" si="105"/>
        <v>0</v>
      </c>
      <c r="R135" s="494">
        <f t="shared" si="105"/>
        <v>0</v>
      </c>
      <c r="S135" s="494">
        <f t="shared" si="105"/>
        <v>0</v>
      </c>
      <c r="T135" s="494">
        <f t="shared" si="105"/>
        <v>0</v>
      </c>
      <c r="U135" s="494">
        <f t="shared" si="105"/>
        <v>0</v>
      </c>
      <c r="V135" s="494">
        <f t="shared" si="105"/>
        <v>0</v>
      </c>
      <c r="W135" s="494">
        <f t="shared" si="105"/>
        <v>0</v>
      </c>
      <c r="X135" s="494">
        <f t="shared" si="105"/>
        <v>0</v>
      </c>
      <c r="Y135" s="494">
        <f t="shared" si="105"/>
        <v>0</v>
      </c>
      <c r="Z135" s="494">
        <f t="shared" si="105"/>
        <v>0</v>
      </c>
      <c r="AA135" s="494">
        <f t="shared" si="105"/>
        <v>0</v>
      </c>
      <c r="AB135" s="494">
        <f t="shared" si="105"/>
        <v>0</v>
      </c>
      <c r="AC135" s="494">
        <f t="shared" si="105"/>
        <v>0</v>
      </c>
      <c r="AD135" s="494">
        <f>(AD26+AD27+AD28)*AD17/12*AD10</f>
        <v>0</v>
      </c>
      <c r="AE135" s="494">
        <f>(AE26+AE27+AE28)*AE17/12*AE10</f>
        <v>0</v>
      </c>
      <c r="AF135" s="494"/>
      <c r="AG135" s="494"/>
      <c r="AH135" s="492"/>
      <c r="AI135" s="62"/>
      <c r="AJ135" s="62"/>
    </row>
    <row r="136" spans="1:36" hidden="1">
      <c r="AF136" s="67"/>
      <c r="AG136" s="67"/>
      <c r="AH136" s="492"/>
    </row>
    <row r="137" spans="1:36" hidden="1">
      <c r="C137" s="67" t="s">
        <v>561</v>
      </c>
      <c r="D137" s="67" t="s">
        <v>561</v>
      </c>
      <c r="AF137" s="67"/>
      <c r="AG137" s="67"/>
      <c r="AH137" s="492"/>
    </row>
    <row r="138" spans="1:36" hidden="1">
      <c r="E138" s="67">
        <f t="shared" ref="E138:AC138" si="106">IF(E12="Orlov",0,(E29)*E17/12*E10+((E30+E31)*E19*E17/12*E10))</f>
        <v>0</v>
      </c>
      <c r="F138" s="67">
        <f t="shared" si="106"/>
        <v>0</v>
      </c>
      <c r="G138" s="67">
        <f t="shared" si="106"/>
        <v>0</v>
      </c>
      <c r="H138" s="67">
        <f t="shared" si="106"/>
        <v>0</v>
      </c>
      <c r="I138" s="67">
        <f t="shared" si="106"/>
        <v>0</v>
      </c>
      <c r="J138" s="67">
        <f t="shared" si="106"/>
        <v>0</v>
      </c>
      <c r="K138" s="67">
        <f t="shared" si="106"/>
        <v>0</v>
      </c>
      <c r="L138" s="67">
        <f t="shared" si="106"/>
        <v>0</v>
      </c>
      <c r="M138" s="67">
        <f t="shared" si="106"/>
        <v>0</v>
      </c>
      <c r="N138" s="67">
        <f t="shared" si="106"/>
        <v>0</v>
      </c>
      <c r="O138" s="67">
        <f t="shared" si="106"/>
        <v>0</v>
      </c>
      <c r="P138" s="67">
        <f t="shared" si="106"/>
        <v>0</v>
      </c>
      <c r="Q138" s="67">
        <f t="shared" si="106"/>
        <v>0</v>
      </c>
      <c r="R138" s="67">
        <f t="shared" si="106"/>
        <v>0</v>
      </c>
      <c r="S138" s="67">
        <f t="shared" si="106"/>
        <v>0</v>
      </c>
      <c r="T138" s="67">
        <f t="shared" si="106"/>
        <v>0</v>
      </c>
      <c r="U138" s="67">
        <f t="shared" si="106"/>
        <v>0</v>
      </c>
      <c r="V138" s="67">
        <f t="shared" si="106"/>
        <v>0</v>
      </c>
      <c r="W138" s="67">
        <f t="shared" si="106"/>
        <v>0</v>
      </c>
      <c r="X138" s="67">
        <f t="shared" si="106"/>
        <v>0</v>
      </c>
      <c r="Y138" s="67">
        <f t="shared" si="106"/>
        <v>0</v>
      </c>
      <c r="Z138" s="67">
        <f t="shared" si="106"/>
        <v>0</v>
      </c>
      <c r="AA138" s="67">
        <f t="shared" si="106"/>
        <v>0</v>
      </c>
      <c r="AB138" s="67">
        <f t="shared" si="106"/>
        <v>0</v>
      </c>
      <c r="AC138" s="67">
        <f t="shared" si="106"/>
        <v>0</v>
      </c>
      <c r="AD138" s="67">
        <f>(AD29)*AD17/12*AD10+((AD30+AD31)*AD19*AD17/12*AD10)</f>
        <v>0</v>
      </c>
      <c r="AE138" s="67">
        <f>(AE29)*AE17/12*AE10+((AE30+AE31)*AE19*AE17/12*AE10)</f>
        <v>0</v>
      </c>
      <c r="AF138" s="67"/>
      <c r="AG138" s="67"/>
      <c r="AH138" s="492"/>
      <c r="AI138" s="493"/>
      <c r="AJ138" s="493"/>
    </row>
    <row r="139" spans="1:36" hidden="1">
      <c r="AF139" s="67"/>
      <c r="AG139" s="67"/>
      <c r="AH139" s="492"/>
    </row>
    <row r="140" spans="1:36" hidden="1">
      <c r="C140" s="67" t="s">
        <v>562</v>
      </c>
      <c r="D140" s="67" t="s">
        <v>562</v>
      </c>
      <c r="AF140" s="67"/>
      <c r="AG140" s="67"/>
      <c r="AH140" s="492"/>
    </row>
    <row r="141" spans="1:36" hidden="1">
      <c r="E141" s="67">
        <f t="shared" ref="E141:AC141" si="107">IF(E12="Orlov",0,(E33*E19)*E17/12*E10)</f>
        <v>0</v>
      </c>
      <c r="F141" s="67">
        <f t="shared" si="107"/>
        <v>0</v>
      </c>
      <c r="G141" s="67">
        <f t="shared" si="107"/>
        <v>0</v>
      </c>
      <c r="H141" s="67">
        <f t="shared" si="107"/>
        <v>0</v>
      </c>
      <c r="I141" s="67">
        <f t="shared" si="107"/>
        <v>0</v>
      </c>
      <c r="J141" s="67">
        <f t="shared" si="107"/>
        <v>0</v>
      </c>
      <c r="K141" s="67">
        <f t="shared" si="107"/>
        <v>0</v>
      </c>
      <c r="L141" s="67">
        <f t="shared" si="107"/>
        <v>0</v>
      </c>
      <c r="M141" s="67">
        <f t="shared" si="107"/>
        <v>0</v>
      </c>
      <c r="N141" s="67">
        <f t="shared" si="107"/>
        <v>0</v>
      </c>
      <c r="O141" s="67">
        <f t="shared" si="107"/>
        <v>0</v>
      </c>
      <c r="P141" s="67">
        <f t="shared" si="107"/>
        <v>0</v>
      </c>
      <c r="Q141" s="67">
        <f t="shared" si="107"/>
        <v>0</v>
      </c>
      <c r="R141" s="67">
        <f t="shared" si="107"/>
        <v>0</v>
      </c>
      <c r="S141" s="67">
        <f t="shared" si="107"/>
        <v>0</v>
      </c>
      <c r="T141" s="67">
        <f t="shared" si="107"/>
        <v>0</v>
      </c>
      <c r="U141" s="67">
        <f t="shared" si="107"/>
        <v>0</v>
      </c>
      <c r="V141" s="67">
        <f t="shared" si="107"/>
        <v>0</v>
      </c>
      <c r="W141" s="67">
        <f t="shared" si="107"/>
        <v>0</v>
      </c>
      <c r="X141" s="67">
        <f t="shared" si="107"/>
        <v>0</v>
      </c>
      <c r="Y141" s="67">
        <f t="shared" si="107"/>
        <v>0</v>
      </c>
      <c r="Z141" s="67">
        <f t="shared" si="107"/>
        <v>0</v>
      </c>
      <c r="AA141" s="67">
        <f t="shared" si="107"/>
        <v>0</v>
      </c>
      <c r="AB141" s="67">
        <f t="shared" si="107"/>
        <v>0</v>
      </c>
      <c r="AC141" s="67">
        <f t="shared" si="107"/>
        <v>0</v>
      </c>
      <c r="AF141" s="67"/>
      <c r="AG141" s="67"/>
      <c r="AH141" s="492"/>
    </row>
    <row r="142" spans="1:36" hidden="1">
      <c r="AF142" s="67"/>
      <c r="AG142" s="67"/>
      <c r="AH142" s="492"/>
    </row>
    <row r="143" spans="1:36" hidden="1">
      <c r="C143" s="67" t="s">
        <v>563</v>
      </c>
      <c r="D143" s="67" t="s">
        <v>563</v>
      </c>
      <c r="AF143" s="67"/>
      <c r="AG143" s="67"/>
      <c r="AH143" s="492"/>
    </row>
    <row r="144" spans="1:36" hidden="1">
      <c r="G144" s="67">
        <f t="shared" ref="G144:AC144" si="108">IF(G12="Orlov",0,(G34*G19)*G17/12*G10)</f>
        <v>0</v>
      </c>
      <c r="H144" s="67">
        <f t="shared" si="108"/>
        <v>0</v>
      </c>
      <c r="I144" s="67">
        <f t="shared" si="108"/>
        <v>0</v>
      </c>
      <c r="J144" s="67">
        <f t="shared" si="108"/>
        <v>0</v>
      </c>
      <c r="K144" s="67">
        <f t="shared" si="108"/>
        <v>0</v>
      </c>
      <c r="L144" s="67">
        <f t="shared" si="108"/>
        <v>0</v>
      </c>
      <c r="M144" s="67">
        <f t="shared" si="108"/>
        <v>0</v>
      </c>
      <c r="N144" s="67">
        <f t="shared" si="108"/>
        <v>0</v>
      </c>
      <c r="O144" s="67">
        <f t="shared" si="108"/>
        <v>0</v>
      </c>
      <c r="P144" s="67">
        <f t="shared" si="108"/>
        <v>0</v>
      </c>
      <c r="Q144" s="67">
        <f t="shared" si="108"/>
        <v>0</v>
      </c>
      <c r="R144" s="67">
        <f t="shared" si="108"/>
        <v>0</v>
      </c>
      <c r="S144" s="67">
        <f t="shared" si="108"/>
        <v>0</v>
      </c>
      <c r="T144" s="67">
        <f t="shared" si="108"/>
        <v>0</v>
      </c>
      <c r="U144" s="67">
        <f t="shared" si="108"/>
        <v>0</v>
      </c>
      <c r="V144" s="67">
        <f t="shared" si="108"/>
        <v>0</v>
      </c>
      <c r="W144" s="67">
        <f t="shared" si="108"/>
        <v>0</v>
      </c>
      <c r="X144" s="67">
        <f t="shared" si="108"/>
        <v>0</v>
      </c>
      <c r="Y144" s="67">
        <f t="shared" si="108"/>
        <v>0</v>
      </c>
      <c r="Z144" s="67">
        <f t="shared" si="108"/>
        <v>0</v>
      </c>
      <c r="AA144" s="67">
        <f t="shared" si="108"/>
        <v>0</v>
      </c>
      <c r="AB144" s="67">
        <f t="shared" si="108"/>
        <v>0</v>
      </c>
      <c r="AC144" s="67">
        <f t="shared" si="108"/>
        <v>0</v>
      </c>
      <c r="AF144" s="67"/>
      <c r="AG144" s="67"/>
      <c r="AH144" s="492"/>
    </row>
    <row r="145" spans="3:35" hidden="1">
      <c r="C145" s="67" t="s">
        <v>485</v>
      </c>
      <c r="D145" s="67" t="s">
        <v>485</v>
      </c>
      <c r="AF145" s="67"/>
      <c r="AG145" s="67"/>
      <c r="AH145" s="492"/>
    </row>
    <row r="146" spans="3:35" hidden="1">
      <c r="C146" s="516">
        <f t="shared" ref="C146:AC146" si="109">IF(C12="Orlov",0,C32*C17/12*C10)</f>
        <v>0</v>
      </c>
      <c r="D146" s="516">
        <f t="shared" si="109"/>
        <v>0</v>
      </c>
      <c r="E146" s="67">
        <f t="shared" si="109"/>
        <v>0</v>
      </c>
      <c r="F146" s="67">
        <f t="shared" si="109"/>
        <v>0</v>
      </c>
      <c r="G146" s="67">
        <f t="shared" si="109"/>
        <v>0</v>
      </c>
      <c r="H146" s="67">
        <f t="shared" si="109"/>
        <v>0</v>
      </c>
      <c r="I146" s="67">
        <f t="shared" si="109"/>
        <v>0</v>
      </c>
      <c r="J146" s="67">
        <f t="shared" si="109"/>
        <v>0</v>
      </c>
      <c r="K146" s="67">
        <f t="shared" si="109"/>
        <v>0</v>
      </c>
      <c r="L146" s="67">
        <f t="shared" si="109"/>
        <v>0</v>
      </c>
      <c r="M146" s="67">
        <f t="shared" si="109"/>
        <v>0</v>
      </c>
      <c r="N146" s="67">
        <f t="shared" si="109"/>
        <v>0</v>
      </c>
      <c r="O146" s="67">
        <f t="shared" si="109"/>
        <v>0</v>
      </c>
      <c r="P146" s="67">
        <f t="shared" si="109"/>
        <v>0</v>
      </c>
      <c r="Q146" s="67">
        <f t="shared" si="109"/>
        <v>0</v>
      </c>
      <c r="R146" s="67">
        <f t="shared" si="109"/>
        <v>0</v>
      </c>
      <c r="S146" s="67">
        <f t="shared" si="109"/>
        <v>0</v>
      </c>
      <c r="T146" s="67">
        <f t="shared" si="109"/>
        <v>0</v>
      </c>
      <c r="U146" s="67">
        <f t="shared" si="109"/>
        <v>0</v>
      </c>
      <c r="V146" s="67">
        <f t="shared" si="109"/>
        <v>0</v>
      </c>
      <c r="W146" s="67">
        <f t="shared" si="109"/>
        <v>0</v>
      </c>
      <c r="X146" s="67">
        <f t="shared" si="109"/>
        <v>0</v>
      </c>
      <c r="Y146" s="67">
        <f t="shared" si="109"/>
        <v>0</v>
      </c>
      <c r="Z146" s="67">
        <f t="shared" si="109"/>
        <v>0</v>
      </c>
      <c r="AA146" s="67">
        <f t="shared" si="109"/>
        <v>0</v>
      </c>
      <c r="AB146" s="67">
        <f t="shared" si="109"/>
        <v>0</v>
      </c>
      <c r="AC146" s="67">
        <f t="shared" si="109"/>
        <v>0</v>
      </c>
      <c r="AD146" s="67">
        <f>AD32*AD17/12*AD10</f>
        <v>0</v>
      </c>
      <c r="AE146" s="67">
        <f>AE32*AE17/12*AE10</f>
        <v>0</v>
      </c>
      <c r="AF146" s="67"/>
      <c r="AG146" s="67"/>
      <c r="AH146" s="492">
        <f t="shared" ref="AH146:AH160" si="110">SUM(C146:AG146)</f>
        <v>0</v>
      </c>
    </row>
    <row r="147" spans="3:35" hidden="1">
      <c r="C147" s="67" t="s">
        <v>490</v>
      </c>
      <c r="D147" s="67" t="s">
        <v>490</v>
      </c>
      <c r="AF147" s="67"/>
      <c r="AG147" s="67"/>
      <c r="AH147" s="492">
        <f t="shared" si="110"/>
        <v>0</v>
      </c>
    </row>
    <row r="148" spans="3:35" hidden="1">
      <c r="C148" s="516">
        <f t="shared" ref="C148:AC148" si="111">IF(C12="Orlov",0,C44*C10)</f>
        <v>0</v>
      </c>
      <c r="D148" s="516">
        <f t="shared" si="111"/>
        <v>0</v>
      </c>
      <c r="E148" s="67">
        <f t="shared" si="111"/>
        <v>0</v>
      </c>
      <c r="F148" s="67">
        <f t="shared" si="111"/>
        <v>0</v>
      </c>
      <c r="G148" s="67">
        <f t="shared" si="111"/>
        <v>0</v>
      </c>
      <c r="H148" s="67">
        <f t="shared" si="111"/>
        <v>0</v>
      </c>
      <c r="I148" s="67">
        <f t="shared" si="111"/>
        <v>0</v>
      </c>
      <c r="J148" s="67">
        <f t="shared" si="111"/>
        <v>0</v>
      </c>
      <c r="K148" s="67">
        <f t="shared" si="111"/>
        <v>0</v>
      </c>
      <c r="L148" s="67">
        <f t="shared" si="111"/>
        <v>0</v>
      </c>
      <c r="M148" s="67">
        <f t="shared" si="111"/>
        <v>0</v>
      </c>
      <c r="N148" s="67">
        <f t="shared" si="111"/>
        <v>0</v>
      </c>
      <c r="O148" s="67">
        <f t="shared" si="111"/>
        <v>0</v>
      </c>
      <c r="P148" s="67">
        <f t="shared" si="111"/>
        <v>0</v>
      </c>
      <c r="Q148" s="67">
        <f t="shared" si="111"/>
        <v>0</v>
      </c>
      <c r="R148" s="67">
        <f t="shared" si="111"/>
        <v>0</v>
      </c>
      <c r="S148" s="67">
        <f t="shared" si="111"/>
        <v>0</v>
      </c>
      <c r="T148" s="67">
        <f t="shared" si="111"/>
        <v>0</v>
      </c>
      <c r="U148" s="67">
        <f t="shared" si="111"/>
        <v>0</v>
      </c>
      <c r="V148" s="67">
        <f t="shared" si="111"/>
        <v>0</v>
      </c>
      <c r="W148" s="67">
        <f t="shared" si="111"/>
        <v>0</v>
      </c>
      <c r="X148" s="67">
        <f t="shared" si="111"/>
        <v>0</v>
      </c>
      <c r="Y148" s="67">
        <f t="shared" si="111"/>
        <v>0</v>
      </c>
      <c r="Z148" s="67">
        <f t="shared" si="111"/>
        <v>0</v>
      </c>
      <c r="AA148" s="67">
        <f t="shared" si="111"/>
        <v>0</v>
      </c>
      <c r="AB148" s="67">
        <f t="shared" si="111"/>
        <v>0</v>
      </c>
      <c r="AC148" s="67">
        <f t="shared" si="111"/>
        <v>0</v>
      </c>
      <c r="AF148" s="67"/>
      <c r="AG148" s="67"/>
      <c r="AH148" s="492"/>
    </row>
    <row r="149" spans="3:35" hidden="1">
      <c r="AF149" s="67"/>
      <c r="AG149" s="67"/>
      <c r="AH149" s="492"/>
      <c r="AI149" s="62">
        <f>G138</f>
        <v>0</v>
      </c>
    </row>
    <row r="150" spans="3:35" hidden="1">
      <c r="C150" s="67" t="s">
        <v>497</v>
      </c>
      <c r="D150" s="67" t="s">
        <v>497</v>
      </c>
      <c r="AF150" s="67"/>
      <c r="AG150" s="67"/>
      <c r="AH150" s="492">
        <f>SUM(C148:AG148)</f>
        <v>0</v>
      </c>
      <c r="AI150" s="62">
        <f t="shared" ref="AI150:AI161" si="112">G146</f>
        <v>0</v>
      </c>
    </row>
    <row r="151" spans="3:35" hidden="1">
      <c r="C151" s="67">
        <f t="shared" ref="C151:AE151" si="113">IF(AND(C12="Nej",C14="Ja"),(C24+C38)*0.8%*C10,0)</f>
        <v>0</v>
      </c>
      <c r="D151" s="67">
        <f t="shared" si="113"/>
        <v>0</v>
      </c>
      <c r="E151" s="67">
        <f t="shared" si="113"/>
        <v>0</v>
      </c>
      <c r="F151" s="67">
        <f t="shared" si="113"/>
        <v>0</v>
      </c>
      <c r="G151" s="67">
        <f t="shared" si="113"/>
        <v>0</v>
      </c>
      <c r="H151" s="67">
        <f t="shared" si="113"/>
        <v>0</v>
      </c>
      <c r="I151" s="67">
        <f t="shared" si="113"/>
        <v>0</v>
      </c>
      <c r="J151" s="67">
        <f t="shared" si="113"/>
        <v>0</v>
      </c>
      <c r="K151" s="67">
        <f t="shared" si="113"/>
        <v>0</v>
      </c>
      <c r="L151" s="67">
        <f t="shared" si="113"/>
        <v>0</v>
      </c>
      <c r="M151" s="67">
        <f t="shared" si="113"/>
        <v>0</v>
      </c>
      <c r="N151" s="67">
        <f t="shared" si="113"/>
        <v>0</v>
      </c>
      <c r="O151" s="67">
        <f t="shared" si="113"/>
        <v>0</v>
      </c>
      <c r="P151" s="67">
        <f t="shared" si="113"/>
        <v>0</v>
      </c>
      <c r="Q151" s="67">
        <f t="shared" si="113"/>
        <v>0</v>
      </c>
      <c r="R151" s="67">
        <f t="shared" si="113"/>
        <v>0</v>
      </c>
      <c r="S151" s="67">
        <f t="shared" si="113"/>
        <v>0</v>
      </c>
      <c r="T151" s="67">
        <f t="shared" si="113"/>
        <v>0</v>
      </c>
      <c r="U151" s="67">
        <f t="shared" si="113"/>
        <v>0</v>
      </c>
      <c r="V151" s="67">
        <f t="shared" si="113"/>
        <v>0</v>
      </c>
      <c r="W151" s="67">
        <f t="shared" si="113"/>
        <v>0</v>
      </c>
      <c r="X151" s="67">
        <f t="shared" si="113"/>
        <v>0</v>
      </c>
      <c r="Y151" s="67">
        <f t="shared" si="113"/>
        <v>0</v>
      </c>
      <c r="Z151" s="67">
        <f t="shared" si="113"/>
        <v>0</v>
      </c>
      <c r="AA151" s="67">
        <f t="shared" si="113"/>
        <v>0</v>
      </c>
      <c r="AB151" s="67">
        <f t="shared" si="113"/>
        <v>0</v>
      </c>
      <c r="AC151" s="67">
        <f t="shared" si="113"/>
        <v>0</v>
      </c>
      <c r="AD151" s="67">
        <f t="shared" si="113"/>
        <v>0</v>
      </c>
      <c r="AE151" s="67">
        <f t="shared" si="113"/>
        <v>0</v>
      </c>
      <c r="AF151" s="67"/>
      <c r="AG151" s="67"/>
      <c r="AH151" s="492">
        <f>SUM(C149:AG149)</f>
        <v>0</v>
      </c>
    </row>
    <row r="152" spans="3:35" hidden="1">
      <c r="C152" s="67" t="s">
        <v>491</v>
      </c>
      <c r="D152" s="67" t="s">
        <v>491</v>
      </c>
      <c r="AF152" s="67"/>
      <c r="AG152" s="67"/>
      <c r="AH152" s="492">
        <f t="shared" si="110"/>
        <v>0</v>
      </c>
    </row>
    <row r="153" spans="3:35" hidden="1">
      <c r="C153" s="516">
        <f t="shared" ref="C153:I153" si="114">(C53+C51+C52)*C10</f>
        <v>0</v>
      </c>
      <c r="D153" s="67">
        <f t="shared" si="114"/>
        <v>0</v>
      </c>
      <c r="E153" s="67">
        <f t="shared" si="114"/>
        <v>0</v>
      </c>
      <c r="F153" s="67">
        <f t="shared" si="114"/>
        <v>0</v>
      </c>
      <c r="G153" s="67">
        <f t="shared" si="114"/>
        <v>0</v>
      </c>
      <c r="H153" s="67">
        <f t="shared" si="114"/>
        <v>0</v>
      </c>
      <c r="I153" s="67">
        <f t="shared" si="114"/>
        <v>0</v>
      </c>
      <c r="J153" s="67">
        <f>IF(J19&gt;0.01,((J51+J52+J53)*J10),0)</f>
        <v>0</v>
      </c>
      <c r="K153" s="67">
        <f t="shared" ref="K153:AE153" si="115">(K53+K51+K52)*K10</f>
        <v>0</v>
      </c>
      <c r="L153" s="67">
        <f t="shared" si="115"/>
        <v>0</v>
      </c>
      <c r="M153" s="67">
        <f t="shared" si="115"/>
        <v>0</v>
      </c>
      <c r="N153" s="67">
        <f t="shared" si="115"/>
        <v>0</v>
      </c>
      <c r="O153" s="67">
        <f t="shared" si="115"/>
        <v>0</v>
      </c>
      <c r="P153" s="67">
        <f t="shared" si="115"/>
        <v>0</v>
      </c>
      <c r="Q153" s="67">
        <f t="shared" si="115"/>
        <v>0</v>
      </c>
      <c r="R153" s="67">
        <f t="shared" si="115"/>
        <v>0</v>
      </c>
      <c r="S153" s="67">
        <f t="shared" si="115"/>
        <v>0</v>
      </c>
      <c r="T153" s="67">
        <f t="shared" si="115"/>
        <v>0</v>
      </c>
      <c r="U153" s="67">
        <f t="shared" si="115"/>
        <v>0</v>
      </c>
      <c r="V153" s="67">
        <f t="shared" si="115"/>
        <v>0</v>
      </c>
      <c r="W153" s="67">
        <f t="shared" si="115"/>
        <v>0</v>
      </c>
      <c r="X153" s="67">
        <f t="shared" si="115"/>
        <v>0</v>
      </c>
      <c r="Y153" s="67">
        <f t="shared" si="115"/>
        <v>0</v>
      </c>
      <c r="Z153" s="67">
        <f t="shared" si="115"/>
        <v>0</v>
      </c>
      <c r="AA153" s="67">
        <f t="shared" si="115"/>
        <v>0</v>
      </c>
      <c r="AB153" s="67">
        <f t="shared" si="115"/>
        <v>0</v>
      </c>
      <c r="AC153" s="67">
        <f t="shared" si="115"/>
        <v>0</v>
      </c>
      <c r="AD153" s="67">
        <f t="shared" si="115"/>
        <v>0</v>
      </c>
      <c r="AE153" s="67">
        <f t="shared" si="115"/>
        <v>0</v>
      </c>
      <c r="AF153" s="67"/>
      <c r="AG153" s="67"/>
      <c r="AH153" s="492">
        <f t="shared" si="110"/>
        <v>0</v>
      </c>
      <c r="AI153" s="62">
        <f>G147</f>
        <v>0</v>
      </c>
    </row>
    <row r="154" spans="3:35" hidden="1">
      <c r="L154" s="67">
        <f>L67*L22</f>
        <v>0</v>
      </c>
      <c r="AF154" s="67"/>
      <c r="AG154" s="67"/>
      <c r="AH154" s="492">
        <f t="shared" si="110"/>
        <v>0</v>
      </c>
      <c r="AI154" s="62">
        <f>G148</f>
        <v>0</v>
      </c>
    </row>
    <row r="155" spans="3:35" hidden="1">
      <c r="C155" s="67" t="s">
        <v>67</v>
      </c>
      <c r="D155" s="67" t="s">
        <v>67</v>
      </c>
      <c r="AF155" s="67"/>
      <c r="AG155" s="67"/>
      <c r="AH155" s="492">
        <f t="shared" si="110"/>
        <v>0</v>
      </c>
      <c r="AI155" s="62">
        <f>G149</f>
        <v>0</v>
      </c>
    </row>
    <row r="156" spans="3:35" hidden="1">
      <c r="C156" s="67">
        <f t="shared" ref="C156:AC156" si="116">IF(C12="Orlov",0,C54/3*2*C10)</f>
        <v>0</v>
      </c>
      <c r="D156" s="67">
        <f t="shared" si="116"/>
        <v>0</v>
      </c>
      <c r="E156" s="67">
        <f t="shared" si="116"/>
        <v>0</v>
      </c>
      <c r="F156" s="67">
        <f t="shared" si="116"/>
        <v>0</v>
      </c>
      <c r="G156" s="67">
        <f t="shared" si="116"/>
        <v>0</v>
      </c>
      <c r="H156" s="67">
        <f t="shared" si="116"/>
        <v>0</v>
      </c>
      <c r="I156" s="67">
        <f t="shared" si="116"/>
        <v>0</v>
      </c>
      <c r="J156" s="67">
        <f t="shared" si="116"/>
        <v>0</v>
      </c>
      <c r="K156" s="67">
        <f t="shared" si="116"/>
        <v>0</v>
      </c>
      <c r="L156" s="67">
        <f t="shared" si="116"/>
        <v>0</v>
      </c>
      <c r="M156" s="67">
        <f t="shared" si="116"/>
        <v>0</v>
      </c>
      <c r="N156" s="67">
        <f t="shared" si="116"/>
        <v>0</v>
      </c>
      <c r="O156" s="67">
        <f t="shared" si="116"/>
        <v>0</v>
      </c>
      <c r="P156" s="67">
        <f t="shared" si="116"/>
        <v>0</v>
      </c>
      <c r="Q156" s="67">
        <f t="shared" si="116"/>
        <v>0</v>
      </c>
      <c r="R156" s="67">
        <f t="shared" si="116"/>
        <v>0</v>
      </c>
      <c r="S156" s="67">
        <f t="shared" si="116"/>
        <v>0</v>
      </c>
      <c r="T156" s="67">
        <f t="shared" si="116"/>
        <v>0</v>
      </c>
      <c r="U156" s="67">
        <f t="shared" si="116"/>
        <v>0</v>
      </c>
      <c r="V156" s="67">
        <f t="shared" si="116"/>
        <v>0</v>
      </c>
      <c r="W156" s="67">
        <f t="shared" si="116"/>
        <v>0</v>
      </c>
      <c r="X156" s="67">
        <f t="shared" si="116"/>
        <v>0</v>
      </c>
      <c r="Y156" s="67">
        <f t="shared" si="116"/>
        <v>0</v>
      </c>
      <c r="Z156" s="67">
        <f t="shared" si="116"/>
        <v>0</v>
      </c>
      <c r="AA156" s="67">
        <f t="shared" si="116"/>
        <v>0</v>
      </c>
      <c r="AB156" s="67">
        <f t="shared" si="116"/>
        <v>0</v>
      </c>
      <c r="AC156" s="67">
        <f t="shared" si="116"/>
        <v>0</v>
      </c>
      <c r="AD156" s="67">
        <f>AD54/3*2*AD10</f>
        <v>0</v>
      </c>
      <c r="AE156" s="67">
        <f>AE54/3*2*AE10</f>
        <v>0</v>
      </c>
      <c r="AF156" s="67"/>
      <c r="AG156" s="67"/>
      <c r="AH156" s="492">
        <f t="shared" si="110"/>
        <v>0</v>
      </c>
      <c r="AI156" s="62">
        <f t="shared" si="112"/>
        <v>0</v>
      </c>
    </row>
    <row r="157" spans="3:35" hidden="1">
      <c r="AF157" s="67"/>
      <c r="AG157" s="67"/>
      <c r="AH157" s="492">
        <f t="shared" si="110"/>
        <v>0</v>
      </c>
      <c r="AI157" s="62">
        <f t="shared" si="112"/>
        <v>0</v>
      </c>
    </row>
    <row r="158" spans="3:35" hidden="1">
      <c r="C158" s="67" t="s">
        <v>503</v>
      </c>
      <c r="D158" s="67" t="s">
        <v>503</v>
      </c>
      <c r="AF158" s="67"/>
      <c r="AG158" s="67"/>
      <c r="AH158" s="492">
        <f t="shared" si="110"/>
        <v>0</v>
      </c>
      <c r="AI158" s="62">
        <f t="shared" si="112"/>
        <v>0</v>
      </c>
    </row>
    <row r="159" spans="3:35" hidden="1">
      <c r="C159" s="73">
        <f t="shared" ref="C159:AC159" si="117">C64</f>
        <v>0</v>
      </c>
      <c r="D159" s="73">
        <f t="shared" si="117"/>
        <v>0</v>
      </c>
      <c r="E159" s="73">
        <f t="shared" si="117"/>
        <v>0</v>
      </c>
      <c r="F159" s="73">
        <f t="shared" si="117"/>
        <v>0</v>
      </c>
      <c r="G159" s="73">
        <f t="shared" si="117"/>
        <v>0</v>
      </c>
      <c r="H159" s="73">
        <f t="shared" si="117"/>
        <v>0</v>
      </c>
      <c r="I159" s="73">
        <f t="shared" si="117"/>
        <v>0</v>
      </c>
      <c r="J159" s="73">
        <f t="shared" si="117"/>
        <v>0</v>
      </c>
      <c r="K159" s="73">
        <f t="shared" si="117"/>
        <v>0</v>
      </c>
      <c r="L159" s="73">
        <f t="shared" si="117"/>
        <v>0</v>
      </c>
      <c r="M159" s="73">
        <f t="shared" si="117"/>
        <v>0</v>
      </c>
      <c r="N159" s="73">
        <f t="shared" si="117"/>
        <v>0</v>
      </c>
      <c r="O159" s="73">
        <f t="shared" si="117"/>
        <v>0</v>
      </c>
      <c r="P159" s="73">
        <f t="shared" si="117"/>
        <v>0</v>
      </c>
      <c r="Q159" s="73">
        <f t="shared" si="117"/>
        <v>0</v>
      </c>
      <c r="R159" s="73">
        <f t="shared" si="117"/>
        <v>0</v>
      </c>
      <c r="S159" s="73">
        <f t="shared" si="117"/>
        <v>0</v>
      </c>
      <c r="T159" s="73">
        <f t="shared" si="117"/>
        <v>0</v>
      </c>
      <c r="U159" s="73">
        <f t="shared" si="117"/>
        <v>0</v>
      </c>
      <c r="V159" s="73">
        <f t="shared" si="117"/>
        <v>0</v>
      </c>
      <c r="W159" s="73">
        <f t="shared" si="117"/>
        <v>0</v>
      </c>
      <c r="X159" s="73">
        <f t="shared" si="117"/>
        <v>0</v>
      </c>
      <c r="Y159" s="73">
        <f t="shared" si="117"/>
        <v>0</v>
      </c>
      <c r="Z159" s="73">
        <f t="shared" si="117"/>
        <v>0</v>
      </c>
      <c r="AA159" s="73">
        <f t="shared" si="117"/>
        <v>0</v>
      </c>
      <c r="AB159" s="73">
        <f t="shared" si="117"/>
        <v>0</v>
      </c>
      <c r="AC159" s="73">
        <f t="shared" si="117"/>
        <v>0</v>
      </c>
      <c r="AF159" s="67"/>
      <c r="AG159" s="67"/>
      <c r="AH159" s="492">
        <f t="shared" si="110"/>
        <v>0</v>
      </c>
      <c r="AI159" s="62">
        <f t="shared" si="112"/>
        <v>0</v>
      </c>
    </row>
    <row r="160" spans="3:35" hidden="1">
      <c r="C160" s="67" t="s">
        <v>564</v>
      </c>
      <c r="D160" s="67" t="s">
        <v>564</v>
      </c>
      <c r="AF160" s="67"/>
      <c r="AG160" s="67"/>
      <c r="AH160" s="492">
        <f t="shared" si="110"/>
        <v>0</v>
      </c>
      <c r="AI160" s="62">
        <f t="shared" si="112"/>
        <v>0</v>
      </c>
    </row>
    <row r="161" spans="2:36" hidden="1">
      <c r="C161" s="73">
        <f t="shared" ref="C161:AE161" si="118">IF(C12="Orlov",0,C66)</f>
        <v>0</v>
      </c>
      <c r="D161" s="73">
        <f t="shared" si="118"/>
        <v>0</v>
      </c>
      <c r="E161" s="73">
        <f t="shared" si="118"/>
        <v>0</v>
      </c>
      <c r="F161" s="73">
        <f t="shared" si="118"/>
        <v>0</v>
      </c>
      <c r="G161" s="73">
        <f t="shared" si="118"/>
        <v>0</v>
      </c>
      <c r="H161" s="73">
        <f t="shared" si="118"/>
        <v>0</v>
      </c>
      <c r="I161" s="73">
        <f t="shared" si="118"/>
        <v>0</v>
      </c>
      <c r="J161" s="73">
        <f t="shared" si="118"/>
        <v>0</v>
      </c>
      <c r="K161" s="73">
        <f t="shared" si="118"/>
        <v>0</v>
      </c>
      <c r="L161" s="73">
        <f t="shared" si="118"/>
        <v>0</v>
      </c>
      <c r="M161" s="73">
        <f t="shared" si="118"/>
        <v>0</v>
      </c>
      <c r="N161" s="73">
        <f t="shared" si="118"/>
        <v>0</v>
      </c>
      <c r="O161" s="73">
        <f t="shared" si="118"/>
        <v>0</v>
      </c>
      <c r="P161" s="73">
        <f t="shared" si="118"/>
        <v>0</v>
      </c>
      <c r="Q161" s="73">
        <f t="shared" si="118"/>
        <v>0</v>
      </c>
      <c r="R161" s="73">
        <f t="shared" si="118"/>
        <v>0</v>
      </c>
      <c r="S161" s="73">
        <f t="shared" si="118"/>
        <v>0</v>
      </c>
      <c r="T161" s="73">
        <f t="shared" si="118"/>
        <v>0</v>
      </c>
      <c r="U161" s="73">
        <f t="shared" si="118"/>
        <v>0</v>
      </c>
      <c r="V161" s="73">
        <f t="shared" si="118"/>
        <v>0</v>
      </c>
      <c r="W161" s="73">
        <f t="shared" si="118"/>
        <v>0</v>
      </c>
      <c r="X161" s="73">
        <f t="shared" si="118"/>
        <v>0</v>
      </c>
      <c r="Y161" s="73">
        <f t="shared" si="118"/>
        <v>0</v>
      </c>
      <c r="Z161" s="73">
        <f t="shared" si="118"/>
        <v>0</v>
      </c>
      <c r="AA161" s="73">
        <f t="shared" si="118"/>
        <v>0</v>
      </c>
      <c r="AB161" s="73">
        <f t="shared" si="118"/>
        <v>0</v>
      </c>
      <c r="AC161" s="73">
        <f t="shared" si="118"/>
        <v>0</v>
      </c>
      <c r="AD161" s="73">
        <f t="shared" si="118"/>
        <v>0</v>
      </c>
      <c r="AE161" s="73">
        <f t="shared" si="118"/>
        <v>0</v>
      </c>
      <c r="AF161" s="67"/>
      <c r="AG161" s="67"/>
      <c r="AH161" s="492"/>
      <c r="AI161" s="62">
        <f t="shared" si="112"/>
        <v>0</v>
      </c>
    </row>
    <row r="162" spans="2:36" hidden="1">
      <c r="B162" s="62" t="s">
        <v>565</v>
      </c>
      <c r="C162" s="73">
        <f t="shared" ref="C162:AE162" si="119">C62</f>
        <v>0</v>
      </c>
      <c r="D162" s="73">
        <f t="shared" si="119"/>
        <v>0</v>
      </c>
      <c r="E162" s="73">
        <f t="shared" si="119"/>
        <v>0</v>
      </c>
      <c r="F162" s="73">
        <f t="shared" si="119"/>
        <v>0</v>
      </c>
      <c r="G162" s="73">
        <f t="shared" si="119"/>
        <v>0</v>
      </c>
      <c r="H162" s="73">
        <f t="shared" si="119"/>
        <v>0</v>
      </c>
      <c r="I162" s="73">
        <f t="shared" si="119"/>
        <v>0</v>
      </c>
      <c r="J162" s="73">
        <f t="shared" si="119"/>
        <v>0</v>
      </c>
      <c r="K162" s="73">
        <f t="shared" si="119"/>
        <v>0</v>
      </c>
      <c r="L162" s="73">
        <f t="shared" si="119"/>
        <v>0</v>
      </c>
      <c r="M162" s="73">
        <f t="shared" si="119"/>
        <v>0</v>
      </c>
      <c r="N162" s="73">
        <f t="shared" si="119"/>
        <v>0</v>
      </c>
      <c r="O162" s="73">
        <f t="shared" si="119"/>
        <v>0</v>
      </c>
      <c r="P162" s="73">
        <f t="shared" si="119"/>
        <v>0</v>
      </c>
      <c r="Q162" s="73">
        <f t="shared" si="119"/>
        <v>0</v>
      </c>
      <c r="R162" s="73">
        <f t="shared" si="119"/>
        <v>0</v>
      </c>
      <c r="S162" s="73">
        <f t="shared" si="119"/>
        <v>0</v>
      </c>
      <c r="T162" s="73">
        <f t="shared" si="119"/>
        <v>0</v>
      </c>
      <c r="U162" s="73">
        <f t="shared" si="119"/>
        <v>0</v>
      </c>
      <c r="V162" s="73">
        <f t="shared" si="119"/>
        <v>0</v>
      </c>
      <c r="W162" s="73">
        <f t="shared" si="119"/>
        <v>0</v>
      </c>
      <c r="X162" s="73">
        <f t="shared" si="119"/>
        <v>0</v>
      </c>
      <c r="Y162" s="73">
        <f t="shared" si="119"/>
        <v>0</v>
      </c>
      <c r="Z162" s="73">
        <f t="shared" si="119"/>
        <v>0</v>
      </c>
      <c r="AA162" s="73">
        <f t="shared" si="119"/>
        <v>0</v>
      </c>
      <c r="AB162" s="73">
        <f t="shared" si="119"/>
        <v>0</v>
      </c>
      <c r="AC162" s="73">
        <f t="shared" si="119"/>
        <v>0</v>
      </c>
      <c r="AD162" s="73">
        <f t="shared" si="119"/>
        <v>0</v>
      </c>
      <c r="AE162" s="73">
        <f t="shared" si="119"/>
        <v>0</v>
      </c>
      <c r="AF162" s="67"/>
      <c r="AG162" s="67"/>
      <c r="AH162" s="492"/>
      <c r="AI162" s="676">
        <f>G159</f>
        <v>0</v>
      </c>
      <c r="AJ162" s="676"/>
    </row>
    <row r="163" spans="2:36" hidden="1">
      <c r="C163" s="73" t="s">
        <v>492</v>
      </c>
      <c r="D163" s="73" t="s">
        <v>492</v>
      </c>
      <c r="E163" s="73"/>
      <c r="F163" s="73"/>
      <c r="G163" s="73"/>
      <c r="AF163" s="67"/>
      <c r="AG163" s="67"/>
      <c r="AH163" s="492"/>
    </row>
    <row r="164" spans="2:36" hidden="1">
      <c r="C164" s="73"/>
      <c r="D164" s="73"/>
      <c r="E164" s="73"/>
      <c r="F164" s="73"/>
      <c r="G164" s="73">
        <f t="shared" ref="G164:AE164" si="120">IF(G12="Orlov",0,G42*40/12*19*G17*G10)</f>
        <v>0</v>
      </c>
      <c r="H164" s="73">
        <f t="shared" si="120"/>
        <v>0</v>
      </c>
      <c r="I164" s="73">
        <f t="shared" si="120"/>
        <v>0</v>
      </c>
      <c r="J164" s="73">
        <f t="shared" si="120"/>
        <v>0</v>
      </c>
      <c r="K164" s="73">
        <f t="shared" si="120"/>
        <v>0</v>
      </c>
      <c r="L164" s="73">
        <f t="shared" si="120"/>
        <v>0</v>
      </c>
      <c r="M164" s="73">
        <f t="shared" si="120"/>
        <v>0</v>
      </c>
      <c r="N164" s="73">
        <f t="shared" si="120"/>
        <v>0</v>
      </c>
      <c r="O164" s="73">
        <f t="shared" si="120"/>
        <v>0</v>
      </c>
      <c r="P164" s="73">
        <f t="shared" si="120"/>
        <v>0</v>
      </c>
      <c r="Q164" s="73">
        <f t="shared" si="120"/>
        <v>0</v>
      </c>
      <c r="R164" s="73">
        <f t="shared" si="120"/>
        <v>0</v>
      </c>
      <c r="S164" s="73">
        <f t="shared" si="120"/>
        <v>0</v>
      </c>
      <c r="T164" s="73">
        <f t="shared" si="120"/>
        <v>0</v>
      </c>
      <c r="U164" s="73">
        <f t="shared" si="120"/>
        <v>0</v>
      </c>
      <c r="V164" s="73">
        <f t="shared" si="120"/>
        <v>0</v>
      </c>
      <c r="W164" s="73">
        <f t="shared" si="120"/>
        <v>0</v>
      </c>
      <c r="X164" s="73">
        <f t="shared" si="120"/>
        <v>0</v>
      </c>
      <c r="Y164" s="73">
        <f t="shared" si="120"/>
        <v>0</v>
      </c>
      <c r="Z164" s="73">
        <f t="shared" si="120"/>
        <v>0</v>
      </c>
      <c r="AA164" s="73">
        <f t="shared" si="120"/>
        <v>0</v>
      </c>
      <c r="AB164" s="73">
        <f t="shared" si="120"/>
        <v>0</v>
      </c>
      <c r="AC164" s="73">
        <f t="shared" si="120"/>
        <v>0</v>
      </c>
      <c r="AD164" s="73">
        <f t="shared" si="120"/>
        <v>0</v>
      </c>
      <c r="AE164" s="73">
        <f t="shared" si="120"/>
        <v>0</v>
      </c>
      <c r="AF164" s="67"/>
      <c r="AG164" s="67"/>
      <c r="AH164" s="492"/>
    </row>
    <row r="165" spans="2:36" hidden="1">
      <c r="C165" s="73" t="s">
        <v>566</v>
      </c>
      <c r="D165" s="73" t="s">
        <v>566</v>
      </c>
      <c r="E165" s="73"/>
      <c r="F165" s="73"/>
      <c r="G165" s="73"/>
      <c r="AF165" s="67"/>
      <c r="AG165" s="67"/>
      <c r="AH165" s="492"/>
    </row>
    <row r="166" spans="2:36" hidden="1">
      <c r="C166" s="73">
        <f t="shared" ref="C166:AE166" si="121">IF(C12="Orlov",0,C43*C10)</f>
        <v>0</v>
      </c>
      <c r="D166" s="73">
        <f t="shared" si="121"/>
        <v>0</v>
      </c>
      <c r="E166" s="73">
        <f t="shared" si="121"/>
        <v>0</v>
      </c>
      <c r="F166" s="73">
        <f t="shared" si="121"/>
        <v>0</v>
      </c>
      <c r="G166" s="73">
        <f t="shared" si="121"/>
        <v>0</v>
      </c>
      <c r="H166" s="73">
        <f t="shared" si="121"/>
        <v>0</v>
      </c>
      <c r="I166" s="73">
        <f t="shared" si="121"/>
        <v>0</v>
      </c>
      <c r="J166" s="73">
        <f t="shared" si="121"/>
        <v>0</v>
      </c>
      <c r="K166" s="73">
        <f t="shared" si="121"/>
        <v>0</v>
      </c>
      <c r="L166" s="73">
        <f t="shared" si="121"/>
        <v>0</v>
      </c>
      <c r="M166" s="73">
        <f t="shared" si="121"/>
        <v>0</v>
      </c>
      <c r="N166" s="73">
        <f t="shared" si="121"/>
        <v>0</v>
      </c>
      <c r="O166" s="73">
        <f t="shared" si="121"/>
        <v>0</v>
      </c>
      <c r="P166" s="73">
        <f t="shared" si="121"/>
        <v>0</v>
      </c>
      <c r="Q166" s="73">
        <f t="shared" si="121"/>
        <v>0</v>
      </c>
      <c r="R166" s="73">
        <f t="shared" si="121"/>
        <v>0</v>
      </c>
      <c r="S166" s="73">
        <f t="shared" si="121"/>
        <v>0</v>
      </c>
      <c r="T166" s="73">
        <f t="shared" si="121"/>
        <v>0</v>
      </c>
      <c r="U166" s="73">
        <f t="shared" si="121"/>
        <v>0</v>
      </c>
      <c r="V166" s="73">
        <f t="shared" si="121"/>
        <v>0</v>
      </c>
      <c r="W166" s="73">
        <f t="shared" si="121"/>
        <v>0</v>
      </c>
      <c r="X166" s="73">
        <f t="shared" si="121"/>
        <v>0</v>
      </c>
      <c r="Y166" s="73">
        <f t="shared" si="121"/>
        <v>0</v>
      </c>
      <c r="Z166" s="73">
        <f t="shared" si="121"/>
        <v>0</v>
      </c>
      <c r="AA166" s="73">
        <f t="shared" si="121"/>
        <v>0</v>
      </c>
      <c r="AB166" s="73">
        <f t="shared" si="121"/>
        <v>0</v>
      </c>
      <c r="AC166" s="73">
        <f t="shared" si="121"/>
        <v>0</v>
      </c>
      <c r="AD166" s="73">
        <f t="shared" si="121"/>
        <v>0</v>
      </c>
      <c r="AE166" s="73">
        <f t="shared" si="121"/>
        <v>0</v>
      </c>
      <c r="AF166" s="67"/>
      <c r="AG166" s="67"/>
      <c r="AH166" s="492"/>
    </row>
    <row r="167" spans="2:36" hidden="1">
      <c r="C167" s="73" t="s">
        <v>567</v>
      </c>
      <c r="D167" s="73" t="s">
        <v>567</v>
      </c>
      <c r="E167" s="73"/>
      <c r="F167" s="73"/>
      <c r="G167" s="73"/>
      <c r="AF167" s="67"/>
      <c r="AG167" s="67"/>
      <c r="AH167" s="492"/>
    </row>
    <row r="168" spans="2:36" hidden="1">
      <c r="C168" s="73"/>
      <c r="D168" s="73"/>
      <c r="E168" s="73"/>
      <c r="F168" s="73"/>
      <c r="G168" s="73">
        <f t="shared" ref="G168:AE168" si="122">G61</f>
        <v>0</v>
      </c>
      <c r="H168" s="73">
        <f t="shared" si="122"/>
        <v>0</v>
      </c>
      <c r="I168" s="73">
        <f t="shared" si="122"/>
        <v>0</v>
      </c>
      <c r="J168" s="73">
        <f t="shared" si="122"/>
        <v>0</v>
      </c>
      <c r="K168" s="73">
        <f t="shared" si="122"/>
        <v>0</v>
      </c>
      <c r="L168" s="73">
        <f t="shared" si="122"/>
        <v>0</v>
      </c>
      <c r="M168" s="73">
        <f t="shared" si="122"/>
        <v>0</v>
      </c>
      <c r="N168" s="73">
        <f t="shared" si="122"/>
        <v>0</v>
      </c>
      <c r="O168" s="73">
        <f t="shared" si="122"/>
        <v>0</v>
      </c>
      <c r="P168" s="73">
        <f t="shared" si="122"/>
        <v>0</v>
      </c>
      <c r="Q168" s="73">
        <f t="shared" si="122"/>
        <v>0</v>
      </c>
      <c r="R168" s="73">
        <f t="shared" si="122"/>
        <v>0</v>
      </c>
      <c r="S168" s="73">
        <f t="shared" si="122"/>
        <v>0</v>
      </c>
      <c r="T168" s="73">
        <f t="shared" si="122"/>
        <v>0</v>
      </c>
      <c r="U168" s="73">
        <f t="shared" si="122"/>
        <v>0</v>
      </c>
      <c r="V168" s="73">
        <f t="shared" si="122"/>
        <v>0</v>
      </c>
      <c r="W168" s="73">
        <f t="shared" si="122"/>
        <v>0</v>
      </c>
      <c r="X168" s="73">
        <f t="shared" si="122"/>
        <v>0</v>
      </c>
      <c r="Y168" s="73">
        <f t="shared" si="122"/>
        <v>0</v>
      </c>
      <c r="Z168" s="73">
        <f t="shared" si="122"/>
        <v>0</v>
      </c>
      <c r="AA168" s="73">
        <f t="shared" si="122"/>
        <v>0</v>
      </c>
      <c r="AB168" s="73">
        <f t="shared" si="122"/>
        <v>0</v>
      </c>
      <c r="AC168" s="73">
        <f t="shared" si="122"/>
        <v>0</v>
      </c>
      <c r="AD168" s="73">
        <f t="shared" si="122"/>
        <v>0</v>
      </c>
      <c r="AE168" s="73">
        <f t="shared" si="122"/>
        <v>0</v>
      </c>
      <c r="AF168" s="67"/>
      <c r="AG168" s="67"/>
      <c r="AH168" s="492"/>
    </row>
    <row r="169" spans="2:36" hidden="1">
      <c r="C169" s="73">
        <f>C168+C166+C164+C161+C159+C156+C153+C148+C146+C144+C141+C138+C135+C131+C129+C127+C124+C121+C118+C133+C162+C151</f>
        <v>0</v>
      </c>
      <c r="D169" s="73">
        <f t="shared" ref="D169:E169" si="123">D168+D166+D164+D161+D159+D156+D153+D148+D146+D144+D141+D138+D135+D131+D129+D127+D124+D121+D118+D133+D162+D151</f>
        <v>0</v>
      </c>
      <c r="E169" s="73">
        <f t="shared" si="123"/>
        <v>0</v>
      </c>
      <c r="F169" s="73">
        <f t="shared" ref="F169" si="124">F168+F166+F164+F161+F159+F156+F153+F148+F146+F144+F141+F138+F135+F131+F129+F127+F124+F121+F118+F133+F162+F151</f>
        <v>0</v>
      </c>
      <c r="G169" s="73">
        <f>G168+G166+G164+G161+G159+G156+G153+G148+G146+G144+G141+G138+G135+G131+G129+G127+G124+G121+G118+G133+G162+G151</f>
        <v>0</v>
      </c>
      <c r="H169" s="73">
        <f t="shared" ref="H169" si="125">H168+H166+H164+H161+H159+H156+H153+H148+H146+H144+H141+H138+H135+H131+H129+H127+H124+H121+H118+H133+H162+H151</f>
        <v>0</v>
      </c>
      <c r="I169" s="73">
        <f t="shared" ref="I169" si="126">I168+I166+I164+I161+I159+I156+I153+I148+I146+I144+I141+I138+I135+I131+I129+I127+I124+I121+I118+I133+I162+I151</f>
        <v>0</v>
      </c>
      <c r="J169" s="73">
        <f t="shared" ref="J169:K169" si="127">J168+J166+J164+J161+J159+J156+J153+J148+J146+J144+J141+J138+J135+J131+J129+J127+J124+J121+J118+J133+J162+J151</f>
        <v>0</v>
      </c>
      <c r="K169" s="73">
        <f t="shared" si="127"/>
        <v>0</v>
      </c>
      <c r="L169" s="73">
        <f t="shared" ref="L169" si="128">L168+L166+L164+L161+L159+L156+L153+L148+L146+L144+L141+L138+L135+L131+L129+L127+L124+L121+L118+L133+L162+L151</f>
        <v>0</v>
      </c>
      <c r="M169" s="73">
        <f t="shared" ref="M169" si="129">M168+M166+M164+M161+M159+M156+M153+M148+M146+M144+M141+M138+M135+M131+M129+M127+M124+M121+M118+M133+M162+M151</f>
        <v>0</v>
      </c>
      <c r="N169" s="73">
        <f t="shared" ref="N169:O169" si="130">N168+N166+N164+N161+N159+N156+N153+N148+N146+N144+N141+N138+N135+N131+N129+N127+N124+N121+N118+N133+N162+N151</f>
        <v>0</v>
      </c>
      <c r="O169" s="73">
        <f t="shared" si="130"/>
        <v>0</v>
      </c>
      <c r="P169" s="73">
        <f t="shared" ref="P169" si="131">P168+P166+P164+P161+P159+P156+P153+P148+P146+P144+P141+P138+P135+P131+P129+P127+P124+P121+P118+P133+P162+P151</f>
        <v>0</v>
      </c>
      <c r="Q169" s="73">
        <f t="shared" ref="Q169" si="132">Q168+Q166+Q164+Q161+Q159+Q156+Q153+Q148+Q146+Q144+Q141+Q138+Q135+Q131+Q129+Q127+Q124+Q121+Q118+Q133+Q162+Q151</f>
        <v>0</v>
      </c>
      <c r="R169" s="73">
        <f t="shared" ref="R169:S169" si="133">R168+R166+R164+R161+R159+R156+R153+R148+R146+R144+R141+R138+R135+R131+R129+R127+R124+R121+R118+R133+R162+R151</f>
        <v>0</v>
      </c>
      <c r="S169" s="73">
        <f t="shared" si="133"/>
        <v>0</v>
      </c>
      <c r="T169" s="73">
        <f t="shared" ref="T169" si="134">T168+T166+T164+T161+T159+T156+T153+T148+T146+T144+T141+T138+T135+T131+T129+T127+T124+T121+T118+T133+T162+T151</f>
        <v>0</v>
      </c>
      <c r="U169" s="73">
        <f t="shared" ref="U169" si="135">U168+U166+U164+U161+U159+U156+U153+U148+U146+U144+U141+U138+U135+U131+U129+U127+U124+U121+U118+U133+U162+U151</f>
        <v>0</v>
      </c>
      <c r="V169" s="73">
        <f t="shared" ref="V169:W169" si="136">V168+V166+V164+V161+V159+V156+V153+V148+V146+V144+V141+V138+V135+V131+V129+V127+V124+V121+V118+V133+V162+V151</f>
        <v>0</v>
      </c>
      <c r="W169" s="73">
        <f t="shared" si="136"/>
        <v>0</v>
      </c>
      <c r="X169" s="73">
        <f t="shared" ref="X169" si="137">X168+X166+X164+X161+X159+X156+X153+X148+X146+X144+X141+X138+X135+X131+X129+X127+X124+X121+X118+X133+X162+X151</f>
        <v>0</v>
      </c>
      <c r="Y169" s="73">
        <f t="shared" ref="Y169" si="138">Y168+Y166+Y164+Y161+Y159+Y156+Y153+Y148+Y146+Y144+Y141+Y138+Y135+Y131+Y129+Y127+Y124+Y121+Y118+Y133+Y162+Y151</f>
        <v>0</v>
      </c>
      <c r="Z169" s="73">
        <f t="shared" ref="Z169:AA169" si="139">Z168+Z166+Z164+Z161+Z159+Z156+Z153+Z148+Z146+Z144+Z141+Z138+Z135+Z131+Z129+Z127+Z124+Z121+Z118+Z133+Z162+Z151</f>
        <v>0</v>
      </c>
      <c r="AA169" s="73">
        <f t="shared" si="139"/>
        <v>0</v>
      </c>
      <c r="AB169" s="73">
        <f t="shared" ref="AB169" si="140">AB168+AB166+AB164+AB161+AB159+AB156+AB153+AB148+AB146+AB144+AB141+AB138+AB135+AB131+AB129+AB127+AB124+AB121+AB118+AB133+AB162+AB151</f>
        <v>0</v>
      </c>
      <c r="AC169" s="73">
        <f t="shared" ref="AC169" si="141">AC168+AC166+AC164+AC161+AC159+AC156+AC153+AC148+AC146+AC144+AC141+AC138+AC135+AC131+AC129+AC127+AC124+AC121+AC118+AC133+AC162+AC151</f>
        <v>0</v>
      </c>
      <c r="AD169" s="73">
        <f t="shared" ref="AD169:AE169" si="142">AD168+AD166+AD164+AD161+AD159+AD156+AD153+AD148+AD146+AD144+AD141+AD138+AD135+AD131+AD129+AD127+AD124+AD121+AD118+AD133+AD162+AD151</f>
        <v>0</v>
      </c>
      <c r="AE169" s="73">
        <f t="shared" si="142"/>
        <v>0</v>
      </c>
      <c r="AF169" s="73">
        <f>SUM(C169:AE169)</f>
        <v>0</v>
      </c>
      <c r="AG169" s="67"/>
      <c r="AH169" s="492">
        <f>SUM(AH118:AH161)</f>
        <v>0</v>
      </c>
    </row>
    <row r="170" spans="2:36" hidden="1">
      <c r="AF170" s="67"/>
      <c r="AG170" s="67"/>
      <c r="AH170" s="492">
        <f>AJ102</f>
        <v>0</v>
      </c>
    </row>
    <row r="171" spans="2:36" hidden="1">
      <c r="C171" s="73">
        <f t="shared" ref="C171:AF171" si="143">C169-C67</f>
        <v>0</v>
      </c>
      <c r="D171" s="73">
        <f t="shared" si="143"/>
        <v>0</v>
      </c>
      <c r="E171" s="73">
        <f t="shared" si="143"/>
        <v>0</v>
      </c>
      <c r="F171" s="73">
        <f t="shared" si="143"/>
        <v>0</v>
      </c>
      <c r="G171" s="73">
        <f t="shared" si="143"/>
        <v>0</v>
      </c>
      <c r="H171" s="73">
        <f t="shared" si="143"/>
        <v>0</v>
      </c>
      <c r="I171" s="73">
        <f t="shared" si="143"/>
        <v>0</v>
      </c>
      <c r="J171" s="73">
        <f t="shared" si="143"/>
        <v>0</v>
      </c>
      <c r="K171" s="73">
        <f t="shared" si="143"/>
        <v>0</v>
      </c>
      <c r="L171" s="73">
        <f t="shared" si="143"/>
        <v>0</v>
      </c>
      <c r="M171" s="73">
        <f t="shared" si="143"/>
        <v>0</v>
      </c>
      <c r="N171" s="73">
        <f t="shared" si="143"/>
        <v>0</v>
      </c>
      <c r="O171" s="73">
        <f t="shared" si="143"/>
        <v>0</v>
      </c>
      <c r="P171" s="73">
        <f t="shared" si="143"/>
        <v>0</v>
      </c>
      <c r="Q171" s="73">
        <f t="shared" si="143"/>
        <v>0</v>
      </c>
      <c r="R171" s="73">
        <f t="shared" si="143"/>
        <v>0</v>
      </c>
      <c r="S171" s="73">
        <f t="shared" si="143"/>
        <v>0</v>
      </c>
      <c r="T171" s="73">
        <f t="shared" si="143"/>
        <v>0</v>
      </c>
      <c r="U171" s="73">
        <f t="shared" si="143"/>
        <v>0</v>
      </c>
      <c r="V171" s="73">
        <f t="shared" si="143"/>
        <v>0</v>
      </c>
      <c r="W171" s="73">
        <f t="shared" si="143"/>
        <v>0</v>
      </c>
      <c r="X171" s="73">
        <f t="shared" si="143"/>
        <v>0</v>
      </c>
      <c r="Y171" s="73">
        <f t="shared" si="143"/>
        <v>0</v>
      </c>
      <c r="Z171" s="73">
        <f t="shared" si="143"/>
        <v>0</v>
      </c>
      <c r="AA171" s="73">
        <f t="shared" si="143"/>
        <v>0</v>
      </c>
      <c r="AB171" s="73">
        <f t="shared" si="143"/>
        <v>0</v>
      </c>
      <c r="AC171" s="73">
        <f t="shared" si="143"/>
        <v>0</v>
      </c>
      <c r="AD171" s="73">
        <f t="shared" si="143"/>
        <v>0</v>
      </c>
      <c r="AE171" s="73">
        <f t="shared" si="143"/>
        <v>0</v>
      </c>
      <c r="AF171" s="73">
        <f t="shared" si="143"/>
        <v>0</v>
      </c>
      <c r="AG171" s="67"/>
      <c r="AH171" s="492">
        <f>SUM(AH169:AH170)</f>
        <v>0</v>
      </c>
    </row>
    <row r="172" spans="2:36" hidden="1">
      <c r="AF172" s="67"/>
      <c r="AG172" s="67"/>
      <c r="AH172" s="62">
        <f>SUM(G172:AG172)</f>
        <v>0</v>
      </c>
    </row>
    <row r="173" spans="2:36" hidden="1">
      <c r="AF173" s="67"/>
      <c r="AG173" s="67"/>
      <c r="AH173" s="495">
        <f>AF80</f>
        <v>0</v>
      </c>
    </row>
    <row r="174" spans="2:36" hidden="1"/>
    <row r="175" spans="2:36" hidden="1"/>
    <row r="176" spans="2:36" hidden="1">
      <c r="G176" s="67">
        <f t="shared" ref="G176:AC176" si="144">IF(G5="BH1",4700*G17*G19/12,0)</f>
        <v>0</v>
      </c>
      <c r="H176" s="67">
        <f t="shared" si="144"/>
        <v>0</v>
      </c>
      <c r="I176" s="67">
        <f t="shared" si="144"/>
        <v>0</v>
      </c>
      <c r="J176" s="67">
        <f t="shared" si="144"/>
        <v>0</v>
      </c>
      <c r="K176" s="67">
        <f t="shared" si="144"/>
        <v>0</v>
      </c>
      <c r="L176" s="67">
        <f t="shared" si="144"/>
        <v>0</v>
      </c>
      <c r="M176" s="67">
        <f t="shared" si="144"/>
        <v>0</v>
      </c>
      <c r="N176" s="67">
        <f t="shared" si="144"/>
        <v>0</v>
      </c>
      <c r="O176" s="67">
        <f t="shared" si="144"/>
        <v>0</v>
      </c>
      <c r="P176" s="67">
        <f t="shared" si="144"/>
        <v>0</v>
      </c>
      <c r="Q176" s="67">
        <f t="shared" si="144"/>
        <v>0</v>
      </c>
      <c r="R176" s="67">
        <f t="shared" si="144"/>
        <v>0</v>
      </c>
      <c r="S176" s="67">
        <f t="shared" si="144"/>
        <v>0</v>
      </c>
      <c r="T176" s="67">
        <f t="shared" si="144"/>
        <v>0</v>
      </c>
      <c r="U176" s="67">
        <f t="shared" si="144"/>
        <v>0</v>
      </c>
      <c r="V176" s="67">
        <f t="shared" si="144"/>
        <v>0</v>
      </c>
      <c r="W176" s="67">
        <f t="shared" si="144"/>
        <v>0</v>
      </c>
      <c r="X176" s="67">
        <f t="shared" si="144"/>
        <v>0</v>
      </c>
      <c r="Y176" s="67">
        <f t="shared" si="144"/>
        <v>0</v>
      </c>
      <c r="Z176" s="67">
        <f t="shared" si="144"/>
        <v>0</v>
      </c>
      <c r="AA176" s="67">
        <f t="shared" si="144"/>
        <v>0</v>
      </c>
      <c r="AB176" s="67">
        <f t="shared" si="144"/>
        <v>0</v>
      </c>
      <c r="AC176" s="67">
        <f t="shared" si="144"/>
        <v>0</v>
      </c>
    </row>
    <row r="177" spans="7:29" hidden="1">
      <c r="G177" s="67">
        <f t="shared" ref="G177:AC177" si="145">IF(G5="BH2",4700*G17*G19/12,0)</f>
        <v>0</v>
      </c>
      <c r="H177" s="67">
        <f t="shared" si="145"/>
        <v>0</v>
      </c>
      <c r="I177" s="67">
        <f t="shared" si="145"/>
        <v>0</v>
      </c>
      <c r="J177" s="67">
        <f t="shared" si="145"/>
        <v>0</v>
      </c>
      <c r="K177" s="67">
        <f t="shared" si="145"/>
        <v>0</v>
      </c>
      <c r="L177" s="67">
        <f t="shared" si="145"/>
        <v>0</v>
      </c>
      <c r="M177" s="67">
        <f t="shared" si="145"/>
        <v>0</v>
      </c>
      <c r="N177" s="67">
        <f t="shared" si="145"/>
        <v>0</v>
      </c>
      <c r="O177" s="67">
        <f t="shared" si="145"/>
        <v>0</v>
      </c>
      <c r="P177" s="67">
        <f t="shared" si="145"/>
        <v>0</v>
      </c>
      <c r="Q177" s="67">
        <f t="shared" si="145"/>
        <v>0</v>
      </c>
      <c r="R177" s="67">
        <f t="shared" si="145"/>
        <v>0</v>
      </c>
      <c r="S177" s="67">
        <f t="shared" si="145"/>
        <v>0</v>
      </c>
      <c r="T177" s="67">
        <f t="shared" si="145"/>
        <v>0</v>
      </c>
      <c r="U177" s="67">
        <f t="shared" si="145"/>
        <v>0</v>
      </c>
      <c r="V177" s="67">
        <f t="shared" si="145"/>
        <v>0</v>
      </c>
      <c r="W177" s="67">
        <f t="shared" si="145"/>
        <v>0</v>
      </c>
      <c r="X177" s="67">
        <f t="shared" si="145"/>
        <v>0</v>
      </c>
      <c r="Y177" s="67">
        <f t="shared" si="145"/>
        <v>0</v>
      </c>
      <c r="Z177" s="67">
        <f t="shared" si="145"/>
        <v>0</v>
      </c>
      <c r="AA177" s="67">
        <f t="shared" si="145"/>
        <v>0</v>
      </c>
      <c r="AB177" s="67">
        <f t="shared" si="145"/>
        <v>0</v>
      </c>
      <c r="AC177" s="67">
        <f t="shared" si="145"/>
        <v>0</v>
      </c>
    </row>
    <row r="178" spans="7:29" hidden="1">
      <c r="G178" s="67">
        <f t="shared" ref="G178:AC178" si="146">IF(G5="BH3",4700*G17*G19/12,0)</f>
        <v>0</v>
      </c>
      <c r="H178" s="67">
        <f t="shared" si="146"/>
        <v>0</v>
      </c>
      <c r="I178" s="67">
        <f t="shared" si="146"/>
        <v>0</v>
      </c>
      <c r="J178" s="67">
        <f t="shared" si="146"/>
        <v>0</v>
      </c>
      <c r="K178" s="67">
        <f t="shared" si="146"/>
        <v>0</v>
      </c>
      <c r="L178" s="67">
        <f t="shared" si="146"/>
        <v>0</v>
      </c>
      <c r="M178" s="67">
        <f t="shared" si="146"/>
        <v>0</v>
      </c>
      <c r="N178" s="67">
        <f t="shared" si="146"/>
        <v>0</v>
      </c>
      <c r="O178" s="67">
        <f t="shared" si="146"/>
        <v>0</v>
      </c>
      <c r="P178" s="67">
        <f t="shared" si="146"/>
        <v>0</v>
      </c>
      <c r="Q178" s="67">
        <f t="shared" si="146"/>
        <v>0</v>
      </c>
      <c r="R178" s="67">
        <f t="shared" si="146"/>
        <v>0</v>
      </c>
      <c r="S178" s="67">
        <f t="shared" si="146"/>
        <v>0</v>
      </c>
      <c r="T178" s="67">
        <f t="shared" si="146"/>
        <v>0</v>
      </c>
      <c r="U178" s="67">
        <f t="shared" si="146"/>
        <v>0</v>
      </c>
      <c r="V178" s="67">
        <f t="shared" si="146"/>
        <v>0</v>
      </c>
      <c r="W178" s="67">
        <f t="shared" si="146"/>
        <v>0</v>
      </c>
      <c r="X178" s="67">
        <f t="shared" si="146"/>
        <v>0</v>
      </c>
      <c r="Y178" s="67">
        <f t="shared" si="146"/>
        <v>0</v>
      </c>
      <c r="Z178" s="67">
        <f t="shared" si="146"/>
        <v>0</v>
      </c>
      <c r="AA178" s="67">
        <f t="shared" si="146"/>
        <v>0</v>
      </c>
      <c r="AB178" s="67">
        <f t="shared" si="146"/>
        <v>0</v>
      </c>
      <c r="AC178" s="67">
        <f t="shared" si="146"/>
        <v>0</v>
      </c>
    </row>
    <row r="179" spans="7:29" hidden="1">
      <c r="G179" s="67">
        <f t="shared" ref="G179:AC179" si="147">IF(G5="BH4",4700*G17*G19/12,0)</f>
        <v>0</v>
      </c>
      <c r="H179" s="67">
        <f t="shared" si="147"/>
        <v>0</v>
      </c>
      <c r="I179" s="67">
        <f t="shared" si="147"/>
        <v>0</v>
      </c>
      <c r="J179" s="67">
        <f t="shared" si="147"/>
        <v>0</v>
      </c>
      <c r="K179" s="67">
        <f t="shared" si="147"/>
        <v>0</v>
      </c>
      <c r="L179" s="67">
        <f t="shared" si="147"/>
        <v>0</v>
      </c>
      <c r="M179" s="67">
        <f t="shared" si="147"/>
        <v>0</v>
      </c>
      <c r="N179" s="67">
        <f t="shared" si="147"/>
        <v>0</v>
      </c>
      <c r="O179" s="67">
        <f t="shared" si="147"/>
        <v>0</v>
      </c>
      <c r="P179" s="67">
        <f t="shared" si="147"/>
        <v>0</v>
      </c>
      <c r="Q179" s="67">
        <f t="shared" si="147"/>
        <v>0</v>
      </c>
      <c r="R179" s="67">
        <f t="shared" si="147"/>
        <v>0</v>
      </c>
      <c r="S179" s="67">
        <f t="shared" si="147"/>
        <v>0</v>
      </c>
      <c r="T179" s="67">
        <f t="shared" si="147"/>
        <v>0</v>
      </c>
      <c r="U179" s="67">
        <f t="shared" si="147"/>
        <v>0</v>
      </c>
      <c r="V179" s="67">
        <f t="shared" si="147"/>
        <v>0</v>
      </c>
      <c r="W179" s="67">
        <f t="shared" si="147"/>
        <v>0</v>
      </c>
      <c r="X179" s="67">
        <f t="shared" si="147"/>
        <v>0</v>
      </c>
      <c r="Y179" s="67">
        <f t="shared" si="147"/>
        <v>0</v>
      </c>
      <c r="Z179" s="67">
        <f t="shared" si="147"/>
        <v>0</v>
      </c>
      <c r="AA179" s="67">
        <f t="shared" si="147"/>
        <v>0</v>
      </c>
      <c r="AB179" s="67">
        <f t="shared" si="147"/>
        <v>0</v>
      </c>
      <c r="AC179" s="67">
        <f t="shared" si="147"/>
        <v>0</v>
      </c>
    </row>
    <row r="180" spans="7:29" hidden="1"/>
    <row r="181" spans="7:29" hidden="1"/>
    <row r="182" spans="7:29" hidden="1"/>
    <row r="183" spans="7:29" hidden="1"/>
    <row r="184" spans="7:29" hidden="1"/>
    <row r="185" spans="7:29" hidden="1"/>
    <row r="186" spans="7:29" hidden="1"/>
    <row r="187" spans="7:29" hidden="1"/>
    <row r="188" spans="7:29" hidden="1"/>
    <row r="189" spans="7:29" hidden="1"/>
    <row r="190" spans="7:29" hidden="1"/>
    <row r="191" spans="7:29" hidden="1"/>
    <row r="192" spans="7:29"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sheetData>
  <sheetProtection sheet="1" formatCells="0" formatColumns="0" formatRows="0" insertColumns="0"/>
  <mergeCells count="87">
    <mergeCell ref="A14:B14"/>
    <mergeCell ref="A15:B15"/>
    <mergeCell ref="A39:B39"/>
    <mergeCell ref="A40:B40"/>
    <mergeCell ref="A41:B41"/>
    <mergeCell ref="A34:B34"/>
    <mergeCell ref="A35:B35"/>
    <mergeCell ref="A36:B36"/>
    <mergeCell ref="A37:B37"/>
    <mergeCell ref="A38:B38"/>
    <mergeCell ref="A20:B20"/>
    <mergeCell ref="A95:A96"/>
    <mergeCell ref="A74:B74"/>
    <mergeCell ref="A75:B75"/>
    <mergeCell ref="A76:B76"/>
    <mergeCell ref="A78:B78"/>
    <mergeCell ref="A79:B79"/>
    <mergeCell ref="A80:B80"/>
    <mergeCell ref="A81:B81"/>
    <mergeCell ref="A85:AE85"/>
    <mergeCell ref="A93:A94"/>
    <mergeCell ref="A86:B86"/>
    <mergeCell ref="A91:A92"/>
    <mergeCell ref="A17:B17"/>
    <mergeCell ref="A18:B18"/>
    <mergeCell ref="A19:B19"/>
    <mergeCell ref="A21:B21"/>
    <mergeCell ref="A43:B43"/>
    <mergeCell ref="AH45:AI45"/>
    <mergeCell ref="AH46:AI46"/>
    <mergeCell ref="A84:AF84"/>
    <mergeCell ref="A51:B51"/>
    <mergeCell ref="A53:B53"/>
    <mergeCell ref="A54:B54"/>
    <mergeCell ref="A55:B55"/>
    <mergeCell ref="A52:B52"/>
    <mergeCell ref="A68:B68"/>
    <mergeCell ref="A66:B66"/>
    <mergeCell ref="A67:B67"/>
    <mergeCell ref="A56:B56"/>
    <mergeCell ref="A57:B57"/>
    <mergeCell ref="A58:B58"/>
    <mergeCell ref="A61:B61"/>
    <mergeCell ref="A45:B45"/>
    <mergeCell ref="A48:B48"/>
    <mergeCell ref="A50:B50"/>
    <mergeCell ref="A73:B73"/>
    <mergeCell ref="A64:B64"/>
    <mergeCell ref="A63:B63"/>
    <mergeCell ref="A65:B65"/>
    <mergeCell ref="A59:B59"/>
    <mergeCell ref="A60:B60"/>
    <mergeCell ref="A62:B62"/>
    <mergeCell ref="A70:B70"/>
    <mergeCell ref="A72:AE72"/>
    <mergeCell ref="A49:B49"/>
    <mergeCell ref="A47:B47"/>
    <mergeCell ref="A22:B22"/>
    <mergeCell ref="A23:B23"/>
    <mergeCell ref="A24:B24"/>
    <mergeCell ref="A25:B25"/>
    <mergeCell ref="A26:B26"/>
    <mergeCell ref="A27:B27"/>
    <mergeCell ref="A28:B28"/>
    <mergeCell ref="A29:B29"/>
    <mergeCell ref="A30:B30"/>
    <mergeCell ref="A31:B31"/>
    <mergeCell ref="A32:B32"/>
    <mergeCell ref="A33:B33"/>
    <mergeCell ref="A44:B44"/>
    <mergeCell ref="A46:B46"/>
    <mergeCell ref="C3:D3"/>
    <mergeCell ref="E3:F3"/>
    <mergeCell ref="G3:AC3"/>
    <mergeCell ref="C2:AE2"/>
    <mergeCell ref="A42:B42"/>
    <mergeCell ref="A13:B13"/>
    <mergeCell ref="A2:B2"/>
    <mergeCell ref="A5:B5"/>
    <mergeCell ref="A6:B6"/>
    <mergeCell ref="A7:B7"/>
    <mergeCell ref="A9:B9"/>
    <mergeCell ref="A10:B10"/>
    <mergeCell ref="A4:B4"/>
    <mergeCell ref="A11:B11"/>
    <mergeCell ref="A12:B12"/>
    <mergeCell ref="A16:B16"/>
  </mergeCells>
  <phoneticPr fontId="55" type="noConversion"/>
  <conditionalFormatting sqref="C20:AC20">
    <cfRule type="expression" dxfId="57" priority="1">
      <formula>OR(C13="Ja",)</formula>
    </cfRule>
  </conditionalFormatting>
  <dataValidations count="12">
    <dataValidation type="decimal" allowBlank="1" showInputMessage="1" showErrorMessage="1" sqref="G19:H19 C20:AC20" xr:uid="{00000000-0002-0000-0700-000002000000}">
      <formula1>0</formula1>
      <formula2>42/37</formula2>
    </dataValidation>
    <dataValidation type="decimal" allowBlank="1" showInputMessage="1" showErrorMessage="1" sqref="AD25:AE26 AD44:AE44 AD58:AE60 G21:AE21 AD62:AE66 AD34:AE42 AD22:AE23" xr:uid="{00000000-0002-0000-0700-000004000000}">
      <formula1>0</formula1>
      <formula2>900</formula2>
    </dataValidation>
    <dataValidation type="decimal" allowBlank="1" showInputMessage="1" showErrorMessage="1" sqref="AD74:AE81" xr:uid="{00000000-0002-0000-0700-000005000000}">
      <formula1>-500000</formula1>
      <formula2>-1</formula2>
    </dataValidation>
    <dataValidation allowBlank="1" showInputMessage="1" showErrorMessage="1" promptTitle="OBS" prompt="Timelønnen tastes i 12 kr." sqref="AD5:AE5" xr:uid="{00000000-0002-0000-0700-000007000000}"/>
    <dataValidation type="list" allowBlank="1" showInputMessage="1" showErrorMessage="1" sqref="AD16:AE16" xr:uid="{00000000-0002-0000-0700-000008000000}">
      <formula1>$AG$17:$AG$18</formula1>
    </dataValidation>
    <dataValidation type="list" allowBlank="1" showInputMessage="1" showErrorMessage="1" sqref="E5:F5" xr:uid="{00000000-0002-0000-0700-000009000000}">
      <formula1>$AF$6:$AF$7</formula1>
    </dataValidation>
    <dataValidation allowBlank="1" showInputMessage="1" showErrorMessage="1" promptTitle="OBS" prompt="Er den ansatte under flexrefusion, skrives her refusionssatsen. Dette bruges til korrekt udregning af feriepengeforpligtigelse." sqref="C96:AE96 C86:AE86 C94:AE94" xr:uid="{00000000-0002-0000-0700-00000A000000}"/>
    <dataValidation type="list" allowBlank="1" showInputMessage="1" showErrorMessage="1" sqref="AD12:AE13 C12:AC12" xr:uid="{00000000-0002-0000-0700-00000B000000}">
      <formula1>$AG$11:$AG$12</formula1>
    </dataValidation>
    <dataValidation type="decimal" allowBlank="1" showInputMessage="1" showErrorMessage="1" sqref="C7:AE7" xr:uid="{1C8B2674-F48A-8D47-B01E-5873123ED466}">
      <formula1>0</formula1>
      <formula2>3</formula2>
    </dataValidation>
    <dataValidation type="decimal" allowBlank="1" showInputMessage="1" showErrorMessage="1" sqref="C8:AE8" xr:uid="{C03E07B0-D004-EC4E-A9C8-99335E7C0467}">
      <formula1>0</formula1>
      <formula2>4</formula2>
    </dataValidation>
    <dataValidation type="decimal" allowBlank="1" showInputMessage="1" showErrorMessage="1" sqref="C9:AE9" xr:uid="{DFCB6B78-B60A-214C-BF39-03D445F5D63E}">
      <formula1>0</formula1>
      <formula2>5</formula2>
    </dataValidation>
    <dataValidation type="decimal" allowBlank="1" showInputMessage="1" showErrorMessage="1" sqref="C74:AC81 C83:AE83" xr:uid="{E43DA312-D4BE-CB48-8CE1-BD4486D56761}">
      <formula1>-900000</formula1>
      <formula2>-1</formula2>
    </dataValidation>
  </dataValidations>
  <pageMargins left="0.35" right="0.35" top="0.59" bottom="0.59" header="0.31" footer="0.31"/>
  <pageSetup paperSize="9" scale="23" fitToHeight="0" orientation="landscape" r:id="rId1"/>
  <headerFooter alignWithMargins="0">
    <oddHeader>&amp;C&amp;"Helvetica,Fed"&amp;12Lærerløn</oddHeader>
    <oddFooter>&amp;L&amp;G&amp;R
&amp;D
&amp;A</oddFooter>
  </headerFooter>
  <rowBreaks count="1" manualBreakCount="1">
    <brk id="72" max="26" man="1"/>
  </rowBreaks>
  <drawing r:id="rId2"/>
  <legacyDrawing r:id="rId3"/>
  <legacyDrawingHF r:id="rId4"/>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800-00000D000000}">
          <x14:formula1>
            <xm:f>Grundlon!$A$63:$A$70</xm:f>
          </x14:formula1>
          <xm:sqref>G5:AC5</xm:sqref>
        </x14:dataValidation>
        <x14:dataValidation type="list" allowBlank="1" showInputMessage="1" showErrorMessage="1" xr:uid="{00000000-0002-0000-0800-00000E000000}">
          <x14:formula1>
            <xm:f>Grundlon!$A$90:$A$116</xm:f>
          </x14:formula1>
          <xm:sqref>G16:AC16</xm:sqref>
        </x14:dataValidation>
        <x14:dataValidation type="list" allowBlank="1" showInputMessage="1" showErrorMessage="1" xr:uid="{00000000-0002-0000-0800-00000F000000}">
          <x14:formula1>
            <xm:f>Grundlon!$C$90:$C$104</xm:f>
          </x14:formula1>
          <xm:sqref>E16:F16</xm:sqref>
        </x14:dataValidation>
        <x14:dataValidation type="list" allowBlank="1" showInputMessage="1" showErrorMessage="1" xr:uid="{00000000-0002-0000-0800-000010000000}">
          <x14:formula1>
            <xm:f>Grundlon!$B$90:$B$91</xm:f>
          </x14:formula1>
          <xm:sqref>G39:AC41 C39:F39 C13:AC15</xm:sqref>
        </x14:dataValidation>
        <x14:dataValidation type="list" allowBlank="1" showInputMessage="1" showErrorMessage="1" xr:uid="{00000000-0002-0000-0800-000011000000}">
          <x14:formula1>
            <xm:f>Grundlon!$C$90:$C$105</xm:f>
          </x14:formula1>
          <xm:sqref>C16:D16</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Ark6">
    <tabColor rgb="FFFF0000"/>
    <pageSetUpPr fitToPage="1"/>
  </sheetPr>
  <dimension ref="A2:EK198"/>
  <sheetViews>
    <sheetView zoomScale="110" zoomScaleNormal="100" zoomScaleSheetLayoutView="167" workbookViewId="0">
      <pane xSplit="2" ySplit="6" topLeftCell="C7" activePane="bottomRight" state="frozen"/>
      <selection pane="topRight" activeCell="A40" sqref="A40:B40"/>
      <selection pane="bottomLeft" activeCell="A40" sqref="A40:B40"/>
      <selection pane="bottomRight" activeCell="AV25" sqref="AV25"/>
    </sheetView>
  </sheetViews>
  <sheetFormatPr baseColWidth="10" defaultColWidth="20.83203125" defaultRowHeight="13"/>
  <cols>
    <col min="1" max="1" width="3.5" style="65" customWidth="1"/>
    <col min="2" max="2" width="76.1640625" style="62" customWidth="1"/>
    <col min="3" max="3" width="16" style="67" customWidth="1"/>
    <col min="4" max="4" width="12.1640625" style="67" customWidth="1"/>
    <col min="5" max="108" width="11.5" style="67" customWidth="1"/>
    <col min="109" max="109" width="28.1640625" style="62" bestFit="1" customWidth="1"/>
    <col min="110" max="110" width="15.5" style="62" customWidth="1"/>
    <col min="111" max="113" width="20.83203125" style="62"/>
    <col min="114" max="114" width="18.5" style="62" customWidth="1"/>
    <col min="115" max="115" width="10.83203125" style="62" customWidth="1"/>
    <col min="116" max="116" width="13.83203125" style="62" customWidth="1"/>
    <col min="117" max="117" width="18.5" style="62" customWidth="1"/>
    <col min="118" max="118" width="10.83203125" style="62" customWidth="1"/>
    <col min="119" max="119" width="13" style="62" customWidth="1"/>
    <col min="120" max="120" width="18.1640625" style="62" customWidth="1"/>
    <col min="121" max="121" width="10.83203125" style="62" customWidth="1"/>
    <col min="122" max="122" width="13.83203125" style="62" customWidth="1"/>
    <col min="123" max="123" width="18.5" style="62" customWidth="1"/>
    <col min="124" max="124" width="10.5" style="62" customWidth="1"/>
    <col min="125" max="125" width="13.83203125" style="62" customWidth="1"/>
    <col min="126" max="126" width="18.5" style="62" customWidth="1"/>
    <col min="127" max="127" width="11" style="62" customWidth="1"/>
    <col min="128" max="128" width="14" style="62" customWidth="1"/>
    <col min="129" max="129" width="18.5" style="62" customWidth="1"/>
    <col min="130" max="130" width="10.83203125" style="62" customWidth="1"/>
    <col min="131" max="131" width="13.83203125" style="62" customWidth="1"/>
    <col min="132" max="353" width="20.83203125" style="62"/>
    <col min="354" max="354" width="2.5" style="62" customWidth="1"/>
    <col min="355" max="355" width="30.5" style="62" customWidth="1"/>
    <col min="356" max="365" width="10" style="62" customWidth="1"/>
    <col min="366" max="366" width="28.1640625" style="62" bestFit="1" customWidth="1"/>
    <col min="367" max="367" width="7.5" style="62" customWidth="1"/>
    <col min="368" max="609" width="20.83203125" style="62"/>
    <col min="610" max="610" width="2.5" style="62" customWidth="1"/>
    <col min="611" max="611" width="30.5" style="62" customWidth="1"/>
    <col min="612" max="621" width="10" style="62" customWidth="1"/>
    <col min="622" max="622" width="28.1640625" style="62" bestFit="1" customWidth="1"/>
    <col min="623" max="623" width="7.5" style="62" customWidth="1"/>
    <col min="624" max="865" width="20.83203125" style="62"/>
    <col min="866" max="866" width="2.5" style="62" customWidth="1"/>
    <col min="867" max="867" width="30.5" style="62" customWidth="1"/>
    <col min="868" max="877" width="10" style="62" customWidth="1"/>
    <col min="878" max="878" width="28.1640625" style="62" bestFit="1" customWidth="1"/>
    <col min="879" max="879" width="7.5" style="62" customWidth="1"/>
    <col min="880" max="1121" width="20.83203125" style="62"/>
    <col min="1122" max="1122" width="2.5" style="62" customWidth="1"/>
    <col min="1123" max="1123" width="30.5" style="62" customWidth="1"/>
    <col min="1124" max="1133" width="10" style="62" customWidth="1"/>
    <col min="1134" max="1134" width="28.1640625" style="62" bestFit="1" customWidth="1"/>
    <col min="1135" max="1135" width="7.5" style="62" customWidth="1"/>
    <col min="1136" max="1377" width="20.83203125" style="62"/>
    <col min="1378" max="1378" width="2.5" style="62" customWidth="1"/>
    <col min="1379" max="1379" width="30.5" style="62" customWidth="1"/>
    <col min="1380" max="1389" width="10" style="62" customWidth="1"/>
    <col min="1390" max="1390" width="28.1640625" style="62" bestFit="1" customWidth="1"/>
    <col min="1391" max="1391" width="7.5" style="62" customWidth="1"/>
    <col min="1392" max="1633" width="20.83203125" style="62"/>
    <col min="1634" max="1634" width="2.5" style="62" customWidth="1"/>
    <col min="1635" max="1635" width="30.5" style="62" customWidth="1"/>
    <col min="1636" max="1645" width="10" style="62" customWidth="1"/>
    <col min="1646" max="1646" width="28.1640625" style="62" bestFit="1" customWidth="1"/>
    <col min="1647" max="1647" width="7.5" style="62" customWidth="1"/>
    <col min="1648" max="1889" width="20.83203125" style="62"/>
    <col min="1890" max="1890" width="2.5" style="62" customWidth="1"/>
    <col min="1891" max="1891" width="30.5" style="62" customWidth="1"/>
    <col min="1892" max="1901" width="10" style="62" customWidth="1"/>
    <col min="1902" max="1902" width="28.1640625" style="62" bestFit="1" customWidth="1"/>
    <col min="1903" max="1903" width="7.5" style="62" customWidth="1"/>
    <col min="1904" max="2145" width="20.83203125" style="62"/>
    <col min="2146" max="2146" width="2.5" style="62" customWidth="1"/>
    <col min="2147" max="2147" width="30.5" style="62" customWidth="1"/>
    <col min="2148" max="2157" width="10" style="62" customWidth="1"/>
    <col min="2158" max="2158" width="28.1640625" style="62" bestFit="1" customWidth="1"/>
    <col min="2159" max="2159" width="7.5" style="62" customWidth="1"/>
    <col min="2160" max="2401" width="20.83203125" style="62"/>
    <col min="2402" max="2402" width="2.5" style="62" customWidth="1"/>
    <col min="2403" max="2403" width="30.5" style="62" customWidth="1"/>
    <col min="2404" max="2413" width="10" style="62" customWidth="1"/>
    <col min="2414" max="2414" width="28.1640625" style="62" bestFit="1" customWidth="1"/>
    <col min="2415" max="2415" width="7.5" style="62" customWidth="1"/>
    <col min="2416" max="2657" width="20.83203125" style="62"/>
    <col min="2658" max="2658" width="2.5" style="62" customWidth="1"/>
    <col min="2659" max="2659" width="30.5" style="62" customWidth="1"/>
    <col min="2660" max="2669" width="10" style="62" customWidth="1"/>
    <col min="2670" max="2670" width="28.1640625" style="62" bestFit="1" customWidth="1"/>
    <col min="2671" max="2671" width="7.5" style="62" customWidth="1"/>
    <col min="2672" max="2913" width="20.83203125" style="62"/>
    <col min="2914" max="2914" width="2.5" style="62" customWidth="1"/>
    <col min="2915" max="2915" width="30.5" style="62" customWidth="1"/>
    <col min="2916" max="2925" width="10" style="62" customWidth="1"/>
    <col min="2926" max="2926" width="28.1640625" style="62" bestFit="1" customWidth="1"/>
    <col min="2927" max="2927" width="7.5" style="62" customWidth="1"/>
    <col min="2928" max="3169" width="20.83203125" style="62"/>
    <col min="3170" max="3170" width="2.5" style="62" customWidth="1"/>
    <col min="3171" max="3171" width="30.5" style="62" customWidth="1"/>
    <col min="3172" max="3181" width="10" style="62" customWidth="1"/>
    <col min="3182" max="3182" width="28.1640625" style="62" bestFit="1" customWidth="1"/>
    <col min="3183" max="3183" width="7.5" style="62" customWidth="1"/>
    <col min="3184" max="3425" width="20.83203125" style="62"/>
    <col min="3426" max="3426" width="2.5" style="62" customWidth="1"/>
    <col min="3427" max="3427" width="30.5" style="62" customWidth="1"/>
    <col min="3428" max="3437" width="10" style="62" customWidth="1"/>
    <col min="3438" max="3438" width="28.1640625" style="62" bestFit="1" customWidth="1"/>
    <col min="3439" max="3439" width="7.5" style="62" customWidth="1"/>
    <col min="3440" max="3681" width="20.83203125" style="62"/>
    <col min="3682" max="3682" width="2.5" style="62" customWidth="1"/>
    <col min="3683" max="3683" width="30.5" style="62" customWidth="1"/>
    <col min="3684" max="3693" width="10" style="62" customWidth="1"/>
    <col min="3694" max="3694" width="28.1640625" style="62" bestFit="1" customWidth="1"/>
    <col min="3695" max="3695" width="7.5" style="62" customWidth="1"/>
    <col min="3696" max="3937" width="20.83203125" style="62"/>
    <col min="3938" max="3938" width="2.5" style="62" customWidth="1"/>
    <col min="3939" max="3939" width="30.5" style="62" customWidth="1"/>
    <col min="3940" max="3949" width="10" style="62" customWidth="1"/>
    <col min="3950" max="3950" width="28.1640625" style="62" bestFit="1" customWidth="1"/>
    <col min="3951" max="3951" width="7.5" style="62" customWidth="1"/>
    <col min="3952" max="4193" width="20.83203125" style="62"/>
    <col min="4194" max="4194" width="2.5" style="62" customWidth="1"/>
    <col min="4195" max="4195" width="30.5" style="62" customWidth="1"/>
    <col min="4196" max="4205" width="10" style="62" customWidth="1"/>
    <col min="4206" max="4206" width="28.1640625" style="62" bestFit="1" customWidth="1"/>
    <col min="4207" max="4207" width="7.5" style="62" customWidth="1"/>
    <col min="4208" max="4449" width="20.83203125" style="62"/>
    <col min="4450" max="4450" width="2.5" style="62" customWidth="1"/>
    <col min="4451" max="4451" width="30.5" style="62" customWidth="1"/>
    <col min="4452" max="4461" width="10" style="62" customWidth="1"/>
    <col min="4462" max="4462" width="28.1640625" style="62" bestFit="1" customWidth="1"/>
    <col min="4463" max="4463" width="7.5" style="62" customWidth="1"/>
    <col min="4464" max="4705" width="20.83203125" style="62"/>
    <col min="4706" max="4706" width="2.5" style="62" customWidth="1"/>
    <col min="4707" max="4707" width="30.5" style="62" customWidth="1"/>
    <col min="4708" max="4717" width="10" style="62" customWidth="1"/>
    <col min="4718" max="4718" width="28.1640625" style="62" bestFit="1" customWidth="1"/>
    <col min="4719" max="4719" width="7.5" style="62" customWidth="1"/>
    <col min="4720" max="4961" width="20.83203125" style="62"/>
    <col min="4962" max="4962" width="2.5" style="62" customWidth="1"/>
    <col min="4963" max="4963" width="30.5" style="62" customWidth="1"/>
    <col min="4964" max="4973" width="10" style="62" customWidth="1"/>
    <col min="4974" max="4974" width="28.1640625" style="62" bestFit="1" customWidth="1"/>
    <col min="4975" max="4975" width="7.5" style="62" customWidth="1"/>
    <col min="4976" max="5217" width="20.83203125" style="62"/>
    <col min="5218" max="5218" width="2.5" style="62" customWidth="1"/>
    <col min="5219" max="5219" width="30.5" style="62" customWidth="1"/>
    <col min="5220" max="5229" width="10" style="62" customWidth="1"/>
    <col min="5230" max="5230" width="28.1640625" style="62" bestFit="1" customWidth="1"/>
    <col min="5231" max="5231" width="7.5" style="62" customWidth="1"/>
    <col min="5232" max="5473" width="20.83203125" style="62"/>
    <col min="5474" max="5474" width="2.5" style="62" customWidth="1"/>
    <col min="5475" max="5475" width="30.5" style="62" customWidth="1"/>
    <col min="5476" max="5485" width="10" style="62" customWidth="1"/>
    <col min="5486" max="5486" width="28.1640625" style="62" bestFit="1" customWidth="1"/>
    <col min="5487" max="5487" width="7.5" style="62" customWidth="1"/>
    <col min="5488" max="5729" width="20.83203125" style="62"/>
    <col min="5730" max="5730" width="2.5" style="62" customWidth="1"/>
    <col min="5731" max="5731" width="30.5" style="62" customWidth="1"/>
    <col min="5732" max="5741" width="10" style="62" customWidth="1"/>
    <col min="5742" max="5742" width="28.1640625" style="62" bestFit="1" customWidth="1"/>
    <col min="5743" max="5743" width="7.5" style="62" customWidth="1"/>
    <col min="5744" max="5985" width="20.83203125" style="62"/>
    <col min="5986" max="5986" width="2.5" style="62" customWidth="1"/>
    <col min="5987" max="5987" width="30.5" style="62" customWidth="1"/>
    <col min="5988" max="5997" width="10" style="62" customWidth="1"/>
    <col min="5998" max="5998" width="28.1640625" style="62" bestFit="1" customWidth="1"/>
    <col min="5999" max="5999" width="7.5" style="62" customWidth="1"/>
    <col min="6000" max="6241" width="20.83203125" style="62"/>
    <col min="6242" max="6242" width="2.5" style="62" customWidth="1"/>
    <col min="6243" max="6243" width="30.5" style="62" customWidth="1"/>
    <col min="6244" max="6253" width="10" style="62" customWidth="1"/>
    <col min="6254" max="6254" width="28.1640625" style="62" bestFit="1" customWidth="1"/>
    <col min="6255" max="6255" width="7.5" style="62" customWidth="1"/>
    <col min="6256" max="6497" width="20.83203125" style="62"/>
    <col min="6498" max="6498" width="2.5" style="62" customWidth="1"/>
    <col min="6499" max="6499" width="30.5" style="62" customWidth="1"/>
    <col min="6500" max="6509" width="10" style="62" customWidth="1"/>
    <col min="6510" max="6510" width="28.1640625" style="62" bestFit="1" customWidth="1"/>
    <col min="6511" max="6511" width="7.5" style="62" customWidth="1"/>
    <col min="6512" max="6753" width="20.83203125" style="62"/>
    <col min="6754" max="6754" width="2.5" style="62" customWidth="1"/>
    <col min="6755" max="6755" width="30.5" style="62" customWidth="1"/>
    <col min="6756" max="6765" width="10" style="62" customWidth="1"/>
    <col min="6766" max="6766" width="28.1640625" style="62" bestFit="1" customWidth="1"/>
    <col min="6767" max="6767" width="7.5" style="62" customWidth="1"/>
    <col min="6768" max="7009" width="20.83203125" style="62"/>
    <col min="7010" max="7010" width="2.5" style="62" customWidth="1"/>
    <col min="7011" max="7011" width="30.5" style="62" customWidth="1"/>
    <col min="7012" max="7021" width="10" style="62" customWidth="1"/>
    <col min="7022" max="7022" width="28.1640625" style="62" bestFit="1" customWidth="1"/>
    <col min="7023" max="7023" width="7.5" style="62" customWidth="1"/>
    <col min="7024" max="7265" width="20.83203125" style="62"/>
    <col min="7266" max="7266" width="2.5" style="62" customWidth="1"/>
    <col min="7267" max="7267" width="30.5" style="62" customWidth="1"/>
    <col min="7268" max="7277" width="10" style="62" customWidth="1"/>
    <col min="7278" max="7278" width="28.1640625" style="62" bestFit="1" customWidth="1"/>
    <col min="7279" max="7279" width="7.5" style="62" customWidth="1"/>
    <col min="7280" max="7521" width="20.83203125" style="62"/>
    <col min="7522" max="7522" width="2.5" style="62" customWidth="1"/>
    <col min="7523" max="7523" width="30.5" style="62" customWidth="1"/>
    <col min="7524" max="7533" width="10" style="62" customWidth="1"/>
    <col min="7534" max="7534" width="28.1640625" style="62" bestFit="1" customWidth="1"/>
    <col min="7535" max="7535" width="7.5" style="62" customWidth="1"/>
    <col min="7536" max="7777" width="20.83203125" style="62"/>
    <col min="7778" max="7778" width="2.5" style="62" customWidth="1"/>
    <col min="7779" max="7779" width="30.5" style="62" customWidth="1"/>
    <col min="7780" max="7789" width="10" style="62" customWidth="1"/>
    <col min="7790" max="7790" width="28.1640625" style="62" bestFit="1" customWidth="1"/>
    <col min="7791" max="7791" width="7.5" style="62" customWidth="1"/>
    <col min="7792" max="8033" width="20.83203125" style="62"/>
    <col min="8034" max="8034" width="2.5" style="62" customWidth="1"/>
    <col min="8035" max="8035" width="30.5" style="62" customWidth="1"/>
    <col min="8036" max="8045" width="10" style="62" customWidth="1"/>
    <col min="8046" max="8046" width="28.1640625" style="62" bestFit="1" customWidth="1"/>
    <col min="8047" max="8047" width="7.5" style="62" customWidth="1"/>
    <col min="8048" max="8289" width="20.83203125" style="62"/>
    <col min="8290" max="8290" width="2.5" style="62" customWidth="1"/>
    <col min="8291" max="8291" width="30.5" style="62" customWidth="1"/>
    <col min="8292" max="8301" width="10" style="62" customWidth="1"/>
    <col min="8302" max="8302" width="28.1640625" style="62" bestFit="1" customWidth="1"/>
    <col min="8303" max="8303" width="7.5" style="62" customWidth="1"/>
    <col min="8304" max="8545" width="20.83203125" style="62"/>
    <col min="8546" max="8546" width="2.5" style="62" customWidth="1"/>
    <col min="8547" max="8547" width="30.5" style="62" customWidth="1"/>
    <col min="8548" max="8557" width="10" style="62" customWidth="1"/>
    <col min="8558" max="8558" width="28.1640625" style="62" bestFit="1" customWidth="1"/>
    <col min="8559" max="8559" width="7.5" style="62" customWidth="1"/>
    <col min="8560" max="8801" width="20.83203125" style="62"/>
    <col min="8802" max="8802" width="2.5" style="62" customWidth="1"/>
    <col min="8803" max="8803" width="30.5" style="62" customWidth="1"/>
    <col min="8804" max="8813" width="10" style="62" customWidth="1"/>
    <col min="8814" max="8814" width="28.1640625" style="62" bestFit="1" customWidth="1"/>
    <col min="8815" max="8815" width="7.5" style="62" customWidth="1"/>
    <col min="8816" max="9057" width="20.83203125" style="62"/>
    <col min="9058" max="9058" width="2.5" style="62" customWidth="1"/>
    <col min="9059" max="9059" width="30.5" style="62" customWidth="1"/>
    <col min="9060" max="9069" width="10" style="62" customWidth="1"/>
    <col min="9070" max="9070" width="28.1640625" style="62" bestFit="1" customWidth="1"/>
    <col min="9071" max="9071" width="7.5" style="62" customWidth="1"/>
    <col min="9072" max="9313" width="20.83203125" style="62"/>
    <col min="9314" max="9314" width="2.5" style="62" customWidth="1"/>
    <col min="9315" max="9315" width="30.5" style="62" customWidth="1"/>
    <col min="9316" max="9325" width="10" style="62" customWidth="1"/>
    <col min="9326" max="9326" width="28.1640625" style="62" bestFit="1" customWidth="1"/>
    <col min="9327" max="9327" width="7.5" style="62" customWidth="1"/>
    <col min="9328" max="9569" width="20.83203125" style="62"/>
    <col min="9570" max="9570" width="2.5" style="62" customWidth="1"/>
    <col min="9571" max="9571" width="30.5" style="62" customWidth="1"/>
    <col min="9572" max="9581" width="10" style="62" customWidth="1"/>
    <col min="9582" max="9582" width="28.1640625" style="62" bestFit="1" customWidth="1"/>
    <col min="9583" max="9583" width="7.5" style="62" customWidth="1"/>
    <col min="9584" max="9825" width="20.83203125" style="62"/>
    <col min="9826" max="9826" width="2.5" style="62" customWidth="1"/>
    <col min="9827" max="9827" width="30.5" style="62" customWidth="1"/>
    <col min="9828" max="9837" width="10" style="62" customWidth="1"/>
    <col min="9838" max="9838" width="28.1640625" style="62" bestFit="1" customWidth="1"/>
    <col min="9839" max="9839" width="7.5" style="62" customWidth="1"/>
    <col min="9840" max="10081" width="20.83203125" style="62"/>
    <col min="10082" max="10082" width="2.5" style="62" customWidth="1"/>
    <col min="10083" max="10083" width="30.5" style="62" customWidth="1"/>
    <col min="10084" max="10093" width="10" style="62" customWidth="1"/>
    <col min="10094" max="10094" width="28.1640625" style="62" bestFit="1" customWidth="1"/>
    <col min="10095" max="10095" width="7.5" style="62" customWidth="1"/>
    <col min="10096" max="10337" width="20.83203125" style="62"/>
    <col min="10338" max="10338" width="2.5" style="62" customWidth="1"/>
    <col min="10339" max="10339" width="30.5" style="62" customWidth="1"/>
    <col min="10340" max="10349" width="10" style="62" customWidth="1"/>
    <col min="10350" max="10350" width="28.1640625" style="62" bestFit="1" customWidth="1"/>
    <col min="10351" max="10351" width="7.5" style="62" customWidth="1"/>
    <col min="10352" max="10593" width="20.83203125" style="62"/>
    <col min="10594" max="10594" width="2.5" style="62" customWidth="1"/>
    <col min="10595" max="10595" width="30.5" style="62" customWidth="1"/>
    <col min="10596" max="10605" width="10" style="62" customWidth="1"/>
    <col min="10606" max="10606" width="28.1640625" style="62" bestFit="1" customWidth="1"/>
    <col min="10607" max="10607" width="7.5" style="62" customWidth="1"/>
    <col min="10608" max="10849" width="20.83203125" style="62"/>
    <col min="10850" max="10850" width="2.5" style="62" customWidth="1"/>
    <col min="10851" max="10851" width="30.5" style="62" customWidth="1"/>
    <col min="10852" max="10861" width="10" style="62" customWidth="1"/>
    <col min="10862" max="10862" width="28.1640625" style="62" bestFit="1" customWidth="1"/>
    <col min="10863" max="10863" width="7.5" style="62" customWidth="1"/>
    <col min="10864" max="11105" width="20.83203125" style="62"/>
    <col min="11106" max="11106" width="2.5" style="62" customWidth="1"/>
    <col min="11107" max="11107" width="30.5" style="62" customWidth="1"/>
    <col min="11108" max="11117" width="10" style="62" customWidth="1"/>
    <col min="11118" max="11118" width="28.1640625" style="62" bestFit="1" customWidth="1"/>
    <col min="11119" max="11119" width="7.5" style="62" customWidth="1"/>
    <col min="11120" max="11361" width="20.83203125" style="62"/>
    <col min="11362" max="11362" width="2.5" style="62" customWidth="1"/>
    <col min="11363" max="11363" width="30.5" style="62" customWidth="1"/>
    <col min="11364" max="11373" width="10" style="62" customWidth="1"/>
    <col min="11374" max="11374" width="28.1640625" style="62" bestFit="1" customWidth="1"/>
    <col min="11375" max="11375" width="7.5" style="62" customWidth="1"/>
    <col min="11376" max="11617" width="20.83203125" style="62"/>
    <col min="11618" max="11618" width="2.5" style="62" customWidth="1"/>
    <col min="11619" max="11619" width="30.5" style="62" customWidth="1"/>
    <col min="11620" max="11629" width="10" style="62" customWidth="1"/>
    <col min="11630" max="11630" width="28.1640625" style="62" bestFit="1" customWidth="1"/>
    <col min="11631" max="11631" width="7.5" style="62" customWidth="1"/>
    <col min="11632" max="11873" width="20.83203125" style="62"/>
    <col min="11874" max="11874" width="2.5" style="62" customWidth="1"/>
    <col min="11875" max="11875" width="30.5" style="62" customWidth="1"/>
    <col min="11876" max="11885" width="10" style="62" customWidth="1"/>
    <col min="11886" max="11886" width="28.1640625" style="62" bestFit="1" customWidth="1"/>
    <col min="11887" max="11887" width="7.5" style="62" customWidth="1"/>
    <col min="11888" max="12129" width="20.83203125" style="62"/>
    <col min="12130" max="12130" width="2.5" style="62" customWidth="1"/>
    <col min="12131" max="12131" width="30.5" style="62" customWidth="1"/>
    <col min="12132" max="12141" width="10" style="62" customWidth="1"/>
    <col min="12142" max="12142" width="28.1640625" style="62" bestFit="1" customWidth="1"/>
    <col min="12143" max="12143" width="7.5" style="62" customWidth="1"/>
    <col min="12144" max="12385" width="20.83203125" style="62"/>
    <col min="12386" max="12386" width="2.5" style="62" customWidth="1"/>
    <col min="12387" max="12387" width="30.5" style="62" customWidth="1"/>
    <col min="12388" max="12397" width="10" style="62" customWidth="1"/>
    <col min="12398" max="12398" width="28.1640625" style="62" bestFit="1" customWidth="1"/>
    <col min="12399" max="12399" width="7.5" style="62" customWidth="1"/>
    <col min="12400" max="12641" width="20.83203125" style="62"/>
    <col min="12642" max="12642" width="2.5" style="62" customWidth="1"/>
    <col min="12643" max="12643" width="30.5" style="62" customWidth="1"/>
    <col min="12644" max="12653" width="10" style="62" customWidth="1"/>
    <col min="12654" max="12654" width="28.1640625" style="62" bestFit="1" customWidth="1"/>
    <col min="12655" max="12655" width="7.5" style="62" customWidth="1"/>
    <col min="12656" max="12897" width="20.83203125" style="62"/>
    <col min="12898" max="12898" width="2.5" style="62" customWidth="1"/>
    <col min="12899" max="12899" width="30.5" style="62" customWidth="1"/>
    <col min="12900" max="12909" width="10" style="62" customWidth="1"/>
    <col min="12910" max="12910" width="28.1640625" style="62" bestFit="1" customWidth="1"/>
    <col min="12911" max="12911" width="7.5" style="62" customWidth="1"/>
    <col min="12912" max="13153" width="20.83203125" style="62"/>
    <col min="13154" max="13154" width="2.5" style="62" customWidth="1"/>
    <col min="13155" max="13155" width="30.5" style="62" customWidth="1"/>
    <col min="13156" max="13165" width="10" style="62" customWidth="1"/>
    <col min="13166" max="13166" width="28.1640625" style="62" bestFit="1" customWidth="1"/>
    <col min="13167" max="13167" width="7.5" style="62" customWidth="1"/>
    <col min="13168" max="13409" width="20.83203125" style="62"/>
    <col min="13410" max="13410" width="2.5" style="62" customWidth="1"/>
    <col min="13411" max="13411" width="30.5" style="62" customWidth="1"/>
    <col min="13412" max="13421" width="10" style="62" customWidth="1"/>
    <col min="13422" max="13422" width="28.1640625" style="62" bestFit="1" customWidth="1"/>
    <col min="13423" max="13423" width="7.5" style="62" customWidth="1"/>
    <col min="13424" max="13665" width="20.83203125" style="62"/>
    <col min="13666" max="13666" width="2.5" style="62" customWidth="1"/>
    <col min="13667" max="13667" width="30.5" style="62" customWidth="1"/>
    <col min="13668" max="13677" width="10" style="62" customWidth="1"/>
    <col min="13678" max="13678" width="28.1640625" style="62" bestFit="1" customWidth="1"/>
    <col min="13679" max="13679" width="7.5" style="62" customWidth="1"/>
    <col min="13680" max="13921" width="20.83203125" style="62"/>
    <col min="13922" max="13922" width="2.5" style="62" customWidth="1"/>
    <col min="13923" max="13923" width="30.5" style="62" customWidth="1"/>
    <col min="13924" max="13933" width="10" style="62" customWidth="1"/>
    <col min="13934" max="13934" width="28.1640625" style="62" bestFit="1" customWidth="1"/>
    <col min="13935" max="13935" width="7.5" style="62" customWidth="1"/>
    <col min="13936" max="14177" width="20.83203125" style="62"/>
    <col min="14178" max="14178" width="2.5" style="62" customWidth="1"/>
    <col min="14179" max="14179" width="30.5" style="62" customWidth="1"/>
    <col min="14180" max="14189" width="10" style="62" customWidth="1"/>
    <col min="14190" max="14190" width="28.1640625" style="62" bestFit="1" customWidth="1"/>
    <col min="14191" max="14191" width="7.5" style="62" customWidth="1"/>
    <col min="14192" max="14433" width="20.83203125" style="62"/>
    <col min="14434" max="14434" width="2.5" style="62" customWidth="1"/>
    <col min="14435" max="14435" width="30.5" style="62" customWidth="1"/>
    <col min="14436" max="14445" width="10" style="62" customWidth="1"/>
    <col min="14446" max="14446" width="28.1640625" style="62" bestFit="1" customWidth="1"/>
    <col min="14447" max="14447" width="7.5" style="62" customWidth="1"/>
    <col min="14448" max="14689" width="20.83203125" style="62"/>
    <col min="14690" max="14690" width="2.5" style="62" customWidth="1"/>
    <col min="14691" max="14691" width="30.5" style="62" customWidth="1"/>
    <col min="14692" max="14701" width="10" style="62" customWidth="1"/>
    <col min="14702" max="14702" width="28.1640625" style="62" bestFit="1" customWidth="1"/>
    <col min="14703" max="14703" width="7.5" style="62" customWidth="1"/>
    <col min="14704" max="14945" width="20.83203125" style="62"/>
    <col min="14946" max="14946" width="2.5" style="62" customWidth="1"/>
    <col min="14947" max="14947" width="30.5" style="62" customWidth="1"/>
    <col min="14948" max="14957" width="10" style="62" customWidth="1"/>
    <col min="14958" max="14958" width="28.1640625" style="62" bestFit="1" customWidth="1"/>
    <col min="14959" max="14959" width="7.5" style="62" customWidth="1"/>
    <col min="14960" max="15201" width="20.83203125" style="62"/>
    <col min="15202" max="15202" width="2.5" style="62" customWidth="1"/>
    <col min="15203" max="15203" width="30.5" style="62" customWidth="1"/>
    <col min="15204" max="15213" width="10" style="62" customWidth="1"/>
    <col min="15214" max="15214" width="28.1640625" style="62" bestFit="1" customWidth="1"/>
    <col min="15215" max="15215" width="7.5" style="62" customWidth="1"/>
    <col min="15216" max="15457" width="20.83203125" style="62"/>
    <col min="15458" max="15458" width="2.5" style="62" customWidth="1"/>
    <col min="15459" max="15459" width="30.5" style="62" customWidth="1"/>
    <col min="15460" max="15469" width="10" style="62" customWidth="1"/>
    <col min="15470" max="15470" width="28.1640625" style="62" bestFit="1" customWidth="1"/>
    <col min="15471" max="15471" width="7.5" style="62" customWidth="1"/>
    <col min="15472" max="15713" width="20.83203125" style="62"/>
    <col min="15714" max="15714" width="2.5" style="62" customWidth="1"/>
    <col min="15715" max="15715" width="30.5" style="62" customWidth="1"/>
    <col min="15716" max="15725" width="10" style="62" customWidth="1"/>
    <col min="15726" max="15726" width="28.1640625" style="62" bestFit="1" customWidth="1"/>
    <col min="15727" max="15727" width="7.5" style="62" customWidth="1"/>
    <col min="15728" max="15969" width="20.83203125" style="62"/>
    <col min="15970" max="15970" width="2.5" style="62" customWidth="1"/>
    <col min="15971" max="15971" width="30.5" style="62" customWidth="1"/>
    <col min="15972" max="15981" width="10" style="62" customWidth="1"/>
    <col min="15982" max="15982" width="28.1640625" style="62" bestFit="1" customWidth="1"/>
    <col min="15983" max="15983" width="7.5" style="62" customWidth="1"/>
    <col min="15984" max="16225" width="20.83203125" style="62"/>
    <col min="16226" max="16226" width="2.5" style="62" customWidth="1"/>
    <col min="16227" max="16227" width="30.5" style="62" customWidth="1"/>
    <col min="16228" max="16237" width="10" style="62" customWidth="1"/>
    <col min="16238" max="16238" width="28.1640625" style="62" bestFit="1" customWidth="1"/>
    <col min="16239" max="16239" width="7.5" style="62" customWidth="1"/>
    <col min="16240" max="16384" width="20.83203125" style="62"/>
  </cols>
  <sheetData>
    <row r="2" spans="1:134" s="100" customFormat="1" ht="30" customHeight="1" thickBot="1">
      <c r="A2" s="327"/>
      <c r="B2" s="62"/>
      <c r="C2" s="3064" t="s">
        <v>568</v>
      </c>
      <c r="D2" s="3064"/>
      <c r="E2" s="3064"/>
      <c r="F2" s="3064"/>
      <c r="G2" s="3064"/>
      <c r="H2" s="3064"/>
      <c r="I2" s="3064"/>
      <c r="J2" s="3064"/>
      <c r="K2" s="3064"/>
      <c r="L2" s="3064"/>
      <c r="M2" s="3064"/>
      <c r="N2" s="3064"/>
      <c r="O2" s="3064"/>
      <c r="P2" s="3064"/>
      <c r="Q2" s="3064"/>
      <c r="R2" s="3064"/>
      <c r="S2" s="3064"/>
      <c r="T2" s="3064"/>
      <c r="U2" s="3064"/>
      <c r="V2" s="3064"/>
      <c r="W2" s="3064"/>
      <c r="X2" s="3064"/>
      <c r="Y2" s="3064"/>
      <c r="Z2" s="3064"/>
      <c r="AA2" s="3064"/>
      <c r="AB2" s="3064"/>
      <c r="AC2" s="3064"/>
      <c r="AD2" s="3064"/>
      <c r="AE2" s="3064"/>
      <c r="AF2" s="3064"/>
      <c r="AG2" s="3064"/>
      <c r="AH2" s="3064"/>
      <c r="AI2" s="3064"/>
      <c r="AJ2" s="3064"/>
      <c r="AK2" s="3064"/>
      <c r="AL2" s="3064"/>
      <c r="AM2" s="3064"/>
      <c r="AN2" s="3064"/>
      <c r="AO2" s="3064"/>
      <c r="AP2" s="3064"/>
      <c r="AQ2" s="3064"/>
      <c r="AR2" s="3064"/>
      <c r="AS2" s="3064"/>
      <c r="AT2" s="3064"/>
      <c r="AU2" s="3064"/>
      <c r="AV2" s="3064"/>
      <c r="AW2" s="3064"/>
      <c r="AX2" s="3064"/>
      <c r="AY2" s="3064"/>
      <c r="AZ2" s="3064"/>
      <c r="BA2" s="3064"/>
      <c r="BB2" s="3064"/>
      <c r="BC2" s="3064"/>
      <c r="BD2" s="3064"/>
      <c r="BE2" s="3064"/>
      <c r="BF2" s="3064"/>
      <c r="BG2" s="3064"/>
      <c r="BH2" s="3064"/>
      <c r="BI2" s="3064"/>
      <c r="BJ2" s="3064"/>
      <c r="BK2" s="3064"/>
      <c r="BL2" s="3064"/>
      <c r="BM2" s="3064"/>
      <c r="BN2" s="3064"/>
      <c r="BO2" s="3064"/>
      <c r="BP2" s="3064"/>
      <c r="BQ2" s="3064"/>
      <c r="BR2" s="3064"/>
      <c r="BS2" s="3064"/>
      <c r="BT2" s="3064"/>
      <c r="BU2" s="3064"/>
      <c r="BV2" s="3064"/>
      <c r="BW2" s="3064"/>
      <c r="BX2" s="3064"/>
      <c r="BY2" s="3064"/>
      <c r="BZ2" s="3064"/>
      <c r="CA2" s="3064"/>
      <c r="CB2" s="3064"/>
      <c r="CC2" s="3064"/>
      <c r="CD2" s="3064"/>
      <c r="CE2" s="3064"/>
      <c r="CF2" s="3064"/>
      <c r="CG2" s="3064"/>
      <c r="CH2" s="3064"/>
      <c r="CI2" s="3064"/>
      <c r="CJ2" s="3064"/>
      <c r="CK2" s="3064"/>
      <c r="CL2" s="3064"/>
      <c r="CM2" s="3064"/>
      <c r="CN2" s="3064"/>
      <c r="CO2" s="3064"/>
      <c r="CP2" s="3064"/>
      <c r="CQ2" s="3064"/>
      <c r="CR2" s="3064"/>
      <c r="CS2" s="3064"/>
      <c r="CT2" s="3064"/>
      <c r="CU2" s="3064"/>
      <c r="CV2" s="3064"/>
      <c r="CW2" s="3064"/>
      <c r="CX2" s="3064"/>
      <c r="CY2" s="3064"/>
      <c r="CZ2" s="3064"/>
      <c r="DA2" s="3064"/>
      <c r="DB2" s="3064"/>
      <c r="DC2" s="3064"/>
      <c r="DD2" s="3064"/>
      <c r="DE2" s="874"/>
      <c r="DF2" s="874"/>
      <c r="DG2" s="874"/>
      <c r="DH2" s="874"/>
      <c r="DI2" s="874"/>
      <c r="DJ2" s="874"/>
      <c r="DK2" s="874"/>
      <c r="DL2" s="874"/>
      <c r="DM2" s="874"/>
      <c r="DN2" s="874"/>
      <c r="DO2" s="874"/>
      <c r="DP2" s="874"/>
      <c r="DQ2" s="874"/>
      <c r="DR2" s="874"/>
      <c r="DS2" s="874"/>
      <c r="DT2" s="874"/>
      <c r="DU2" s="874"/>
      <c r="DV2" s="874"/>
      <c r="DW2" s="874"/>
      <c r="DX2" s="874"/>
      <c r="DY2" s="874"/>
      <c r="DZ2" s="874"/>
      <c r="EA2" s="874"/>
      <c r="EB2" s="874"/>
      <c r="EC2" s="874"/>
      <c r="ED2" s="874"/>
    </row>
    <row r="3" spans="1:134" ht="39.75" customHeight="1" thickBot="1">
      <c r="A3" s="3056" t="s">
        <v>569</v>
      </c>
      <c r="B3" s="3057"/>
      <c r="C3" s="3105" t="s">
        <v>570</v>
      </c>
      <c r="D3" s="3106"/>
      <c r="E3" s="3106"/>
      <c r="F3" s="3107"/>
      <c r="G3" s="3106"/>
      <c r="H3" s="3106"/>
      <c r="I3" s="3106"/>
      <c r="J3" s="3106"/>
      <c r="K3" s="3106"/>
      <c r="L3" s="3106"/>
      <c r="M3" s="3106"/>
      <c r="N3" s="3106"/>
      <c r="O3" s="3106"/>
      <c r="P3" s="3106"/>
      <c r="Q3" s="3106"/>
      <c r="R3" s="3106"/>
      <c r="S3" s="3106"/>
      <c r="T3" s="3106"/>
      <c r="U3" s="3106"/>
      <c r="V3" s="3106"/>
      <c r="W3" s="3106"/>
      <c r="X3" s="3106"/>
      <c r="Y3" s="3107"/>
      <c r="Z3" s="3106"/>
      <c r="AA3" s="3106"/>
      <c r="AB3" s="3106"/>
      <c r="AC3" s="3106"/>
      <c r="AD3" s="3106"/>
      <c r="AE3" s="3107"/>
      <c r="AF3" s="3106"/>
      <c r="AG3" s="3106"/>
      <c r="AH3" s="3106"/>
      <c r="AI3" s="3106"/>
      <c r="AJ3" s="3106"/>
      <c r="AK3" s="3106"/>
      <c r="AL3" s="3106"/>
      <c r="AM3" s="3106"/>
      <c r="AN3" s="3106"/>
      <c r="AO3" s="3106"/>
      <c r="AP3" s="3106"/>
      <c r="AQ3" s="3106"/>
      <c r="AR3" s="3106"/>
      <c r="AS3" s="3107"/>
      <c r="AT3" s="3107"/>
      <c r="AU3" s="3107"/>
      <c r="AV3" s="3107"/>
      <c r="AW3" s="3107"/>
      <c r="AX3" s="3107"/>
      <c r="AY3" s="3106"/>
      <c r="AZ3" s="3106"/>
      <c r="BA3" s="3106"/>
      <c r="BB3" s="3106"/>
      <c r="BC3" s="3107"/>
      <c r="BD3" s="3106"/>
      <c r="BE3" s="3106"/>
      <c r="BF3" s="3106"/>
      <c r="BG3" s="3106"/>
      <c r="BH3" s="3106"/>
      <c r="BI3" s="3106"/>
      <c r="BJ3" s="3106"/>
      <c r="BK3" s="3106"/>
      <c r="BL3" s="3106"/>
      <c r="BM3" s="3106"/>
      <c r="BN3" s="3106"/>
      <c r="BO3" s="3106"/>
      <c r="BP3" s="3106"/>
      <c r="BQ3" s="3106"/>
      <c r="BR3" s="3106"/>
      <c r="BS3" s="3106"/>
      <c r="BT3" s="3106"/>
      <c r="BU3" s="3106"/>
      <c r="BV3" s="3106"/>
      <c r="BW3" s="3106"/>
      <c r="BX3" s="3106"/>
      <c r="BY3" s="3106"/>
      <c r="BZ3" s="3108"/>
      <c r="CA3" s="3065" t="s">
        <v>571</v>
      </c>
      <c r="CB3" s="3066"/>
      <c r="CC3" s="3066"/>
      <c r="CD3" s="3066"/>
      <c r="CE3" s="3066"/>
      <c r="CF3" s="3066"/>
      <c r="CG3" s="3066"/>
      <c r="CH3" s="3066"/>
      <c r="CI3" s="3066"/>
      <c r="CJ3" s="3067"/>
      <c r="CK3" s="3068" t="s">
        <v>572</v>
      </c>
      <c r="CL3" s="3069"/>
      <c r="CM3" s="3070"/>
      <c r="CN3" s="3070"/>
      <c r="CO3" s="3070"/>
      <c r="CP3" s="3070"/>
      <c r="CQ3" s="3070"/>
      <c r="CR3" s="3070"/>
      <c r="CS3" s="3070"/>
      <c r="CT3" s="3070"/>
      <c r="CU3" s="3070"/>
      <c r="CV3" s="3070"/>
      <c r="CW3" s="3071"/>
      <c r="CX3" s="3065" t="s">
        <v>573</v>
      </c>
      <c r="CY3" s="3066"/>
      <c r="CZ3" s="3066"/>
      <c r="DA3" s="3066"/>
      <c r="DB3" s="3066"/>
      <c r="DC3" s="3066"/>
      <c r="DD3" s="3067"/>
    </row>
    <row r="4" spans="1:134" ht="58" customHeight="1" thickBot="1">
      <c r="A4" s="3058"/>
      <c r="B4" s="3059"/>
      <c r="C4" s="3079" t="s">
        <v>1448</v>
      </c>
      <c r="D4" s="3080"/>
      <c r="E4" s="3080"/>
      <c r="F4" s="3081"/>
      <c r="G4" s="3080"/>
      <c r="H4" s="3080"/>
      <c r="I4" s="3080"/>
      <c r="J4" s="3080"/>
      <c r="K4" s="3080"/>
      <c r="L4" s="3080"/>
      <c r="M4" s="3080"/>
      <c r="N4" s="3080"/>
      <c r="O4" s="3080"/>
      <c r="P4" s="3080"/>
      <c r="Q4" s="3080"/>
      <c r="R4" s="3080"/>
      <c r="S4" s="3080"/>
      <c r="T4" s="3080"/>
      <c r="U4" s="3080"/>
      <c r="V4" s="3080"/>
      <c r="W4" s="3082"/>
      <c r="X4" s="3083" t="s">
        <v>1449</v>
      </c>
      <c r="Y4" s="3084"/>
      <c r="Z4" s="3085"/>
      <c r="AA4" s="3085"/>
      <c r="AB4" s="3085"/>
      <c r="AC4" s="3085"/>
      <c r="AD4" s="3085"/>
      <c r="AE4" s="3086"/>
      <c r="AF4" s="3085"/>
      <c r="AG4" s="3085"/>
      <c r="AH4" s="3085"/>
      <c r="AI4" s="3085"/>
      <c r="AJ4" s="3085"/>
      <c r="AK4" s="3085"/>
      <c r="AL4" s="3085"/>
      <c r="AM4" s="3085"/>
      <c r="AN4" s="3085"/>
      <c r="AO4" s="3085"/>
      <c r="AP4" s="3085"/>
      <c r="AQ4" s="3085"/>
      <c r="AR4" s="3085"/>
      <c r="AS4" s="3086"/>
      <c r="AT4" s="3086"/>
      <c r="AU4" s="3086"/>
      <c r="AV4" s="3086"/>
      <c r="AW4" s="3086"/>
      <c r="AX4" s="3086"/>
      <c r="AY4" s="3085"/>
      <c r="AZ4" s="3085"/>
      <c r="BA4" s="3087"/>
      <c r="BB4" s="3088" t="s">
        <v>1450</v>
      </c>
      <c r="BC4" s="3089"/>
      <c r="BD4" s="3090"/>
      <c r="BE4" s="3090"/>
      <c r="BF4" s="3090"/>
      <c r="BG4" s="3090"/>
      <c r="BH4" s="3090"/>
      <c r="BI4" s="3090"/>
      <c r="BJ4" s="3090"/>
      <c r="BK4" s="3090"/>
      <c r="BL4" s="3090"/>
      <c r="BM4" s="3090"/>
      <c r="BN4" s="3091"/>
      <c r="BO4" s="3102" t="s">
        <v>1451</v>
      </c>
      <c r="BP4" s="3103"/>
      <c r="BQ4" s="3103"/>
      <c r="BR4" s="3103"/>
      <c r="BS4" s="3103"/>
      <c r="BT4" s="3103"/>
      <c r="BU4" s="3103"/>
      <c r="BV4" s="3103"/>
      <c r="BW4" s="3103"/>
      <c r="BX4" s="3103"/>
      <c r="BY4" s="3103"/>
      <c r="BZ4" s="3104"/>
      <c r="CA4" s="3092" t="s">
        <v>1452</v>
      </c>
      <c r="CB4" s="3093"/>
      <c r="CC4" s="3093"/>
      <c r="CD4" s="3093"/>
      <c r="CE4" s="3093"/>
      <c r="CF4" s="3093"/>
      <c r="CG4" s="3093"/>
      <c r="CH4" s="3093"/>
      <c r="CI4" s="3093"/>
      <c r="CJ4" s="3094"/>
      <c r="CK4" s="3095" t="s">
        <v>1453</v>
      </c>
      <c r="CL4" s="3096"/>
      <c r="CM4" s="3097"/>
      <c r="CN4" s="3097"/>
      <c r="CO4" s="3097"/>
      <c r="CP4" s="3097"/>
      <c r="CQ4" s="3097"/>
      <c r="CR4" s="3097"/>
      <c r="CS4" s="3097"/>
      <c r="CT4" s="3097"/>
      <c r="CU4" s="3097"/>
      <c r="CV4" s="3097"/>
      <c r="CW4" s="3098"/>
      <c r="CX4" s="3099" t="s">
        <v>1454</v>
      </c>
      <c r="CY4" s="3100"/>
      <c r="CZ4" s="3100"/>
      <c r="DA4" s="3100"/>
      <c r="DB4" s="3100"/>
      <c r="DC4" s="3100"/>
      <c r="DD4" s="3101"/>
    </row>
    <row r="5" spans="1:134" ht="61" customHeight="1" thickBot="1">
      <c r="A5" s="3058"/>
      <c r="B5" s="3059"/>
      <c r="C5" s="3052" t="s">
        <v>575</v>
      </c>
      <c r="D5" s="3053"/>
      <c r="E5" s="3054"/>
      <c r="F5" s="3055"/>
      <c r="G5" s="3054"/>
      <c r="H5" s="3054"/>
      <c r="I5" s="3054"/>
      <c r="J5" s="3054"/>
      <c r="K5" s="3054"/>
      <c r="L5" s="3054"/>
      <c r="M5" s="3054"/>
      <c r="N5" s="3054"/>
      <c r="O5" s="3054"/>
      <c r="P5" s="3054"/>
      <c r="Q5" s="3054"/>
      <c r="R5" s="3054"/>
      <c r="S5" s="3054"/>
      <c r="T5" s="3054"/>
      <c r="U5" s="3054"/>
      <c r="V5" s="3110" t="s">
        <v>576</v>
      </c>
      <c r="W5" s="3111"/>
      <c r="X5" s="3126" t="s">
        <v>577</v>
      </c>
      <c r="Y5" s="3127"/>
      <c r="Z5" s="3127"/>
      <c r="AA5" s="3127"/>
      <c r="AB5" s="3127"/>
      <c r="AC5" s="3127"/>
      <c r="AD5" s="3127"/>
      <c r="AE5" s="3127"/>
      <c r="AF5" s="3127"/>
      <c r="AG5" s="3127"/>
      <c r="AH5" s="3127"/>
      <c r="AI5" s="3127"/>
      <c r="AJ5" s="3127"/>
      <c r="AK5" s="3127"/>
      <c r="AL5" s="3127"/>
      <c r="AM5" s="3127"/>
      <c r="AN5" s="3127"/>
      <c r="AO5" s="3127"/>
      <c r="AP5" s="3127"/>
      <c r="AQ5" s="3128"/>
      <c r="AR5" s="3125" t="s">
        <v>1459</v>
      </c>
      <c r="AS5" s="3123"/>
      <c r="AT5" s="3123"/>
      <c r="AU5" s="3124"/>
      <c r="AV5" s="3123" t="s">
        <v>1460</v>
      </c>
      <c r="AW5" s="3123"/>
      <c r="AX5" s="3123"/>
      <c r="AY5" s="3124"/>
      <c r="AZ5" s="3112" t="s">
        <v>578</v>
      </c>
      <c r="BA5" s="3113"/>
      <c r="BB5" s="3117" t="s">
        <v>579</v>
      </c>
      <c r="BC5" s="3118"/>
      <c r="BD5" s="3117"/>
      <c r="BE5" s="3117"/>
      <c r="BF5" s="3117"/>
      <c r="BG5" s="3117"/>
      <c r="BH5" s="3117"/>
      <c r="BI5" s="3117"/>
      <c r="BJ5" s="3117"/>
      <c r="BK5" s="3117"/>
      <c r="BL5" s="3117"/>
      <c r="BM5" s="3119" t="s">
        <v>580</v>
      </c>
      <c r="BN5" s="3120"/>
      <c r="BO5" s="3046" t="s">
        <v>581</v>
      </c>
      <c r="BP5" s="3046"/>
      <c r="BQ5" s="3046"/>
      <c r="BR5" s="3046"/>
      <c r="BS5" s="3046"/>
      <c r="BT5" s="3046"/>
      <c r="BU5" s="3046"/>
      <c r="BV5" s="3046"/>
      <c r="BW5" s="3046"/>
      <c r="BX5" s="3046"/>
      <c r="BY5" s="3047" t="s">
        <v>582</v>
      </c>
      <c r="BZ5" s="3048"/>
      <c r="CA5" s="3116" t="s">
        <v>583</v>
      </c>
      <c r="CB5" s="3116"/>
      <c r="CC5" s="3116"/>
      <c r="CD5" s="3116"/>
      <c r="CE5" s="3116"/>
      <c r="CF5" s="3116"/>
      <c r="CG5" s="3116"/>
      <c r="CH5" s="3116"/>
      <c r="CI5" s="3114" t="s">
        <v>584</v>
      </c>
      <c r="CJ5" s="3115"/>
      <c r="CK5" s="3074" t="s">
        <v>585</v>
      </c>
      <c r="CL5" s="3074"/>
      <c r="CM5" s="3074"/>
      <c r="CN5" s="3074"/>
      <c r="CO5" s="3074"/>
      <c r="CP5" s="3074"/>
      <c r="CQ5" s="3074"/>
      <c r="CR5" s="3074"/>
      <c r="CS5" s="3074"/>
      <c r="CT5" s="3074"/>
      <c r="CU5" s="3074"/>
      <c r="CV5" s="3072" t="s">
        <v>586</v>
      </c>
      <c r="CW5" s="3073"/>
      <c r="CX5" s="3077" t="s">
        <v>587</v>
      </c>
      <c r="CY5" s="3077"/>
      <c r="CZ5" s="3077"/>
      <c r="DA5" s="3077"/>
      <c r="DB5" s="3078"/>
      <c r="DC5" s="3075" t="s">
        <v>588</v>
      </c>
      <c r="DD5" s="3076"/>
      <c r="DE5" s="355"/>
      <c r="DF5" s="355"/>
      <c r="DG5" s="355"/>
      <c r="DH5" s="355"/>
      <c r="DI5" s="355"/>
    </row>
    <row r="6" spans="1:134" s="600" customFormat="1" ht="35" customHeight="1">
      <c r="A6" s="3062" t="s">
        <v>63</v>
      </c>
      <c r="B6" s="3063"/>
      <c r="C6" s="2149" t="s">
        <v>589</v>
      </c>
      <c r="D6" s="2150" t="s">
        <v>589</v>
      </c>
      <c r="E6" s="2196" t="s">
        <v>590</v>
      </c>
      <c r="F6" s="2197" t="s">
        <v>590</v>
      </c>
      <c r="G6" s="2197" t="s">
        <v>590</v>
      </c>
      <c r="H6" s="2197" t="s">
        <v>590</v>
      </c>
      <c r="I6" s="2197" t="s">
        <v>590</v>
      </c>
      <c r="J6" s="2197" t="s">
        <v>590</v>
      </c>
      <c r="K6" s="2197" t="s">
        <v>590</v>
      </c>
      <c r="L6" s="1375" t="s">
        <v>590</v>
      </c>
      <c r="M6" s="1375" t="s">
        <v>590</v>
      </c>
      <c r="N6" s="1375" t="s">
        <v>590</v>
      </c>
      <c r="O6" s="1375" t="s">
        <v>590</v>
      </c>
      <c r="P6" s="1375" t="s">
        <v>590</v>
      </c>
      <c r="Q6" s="1375" t="s">
        <v>590</v>
      </c>
      <c r="R6" s="1375" t="s">
        <v>590</v>
      </c>
      <c r="S6" s="1375" t="s">
        <v>590</v>
      </c>
      <c r="T6" s="1375" t="s">
        <v>590</v>
      </c>
      <c r="U6" s="1373" t="s">
        <v>590</v>
      </c>
      <c r="V6" s="1372" t="s">
        <v>591</v>
      </c>
      <c r="W6" s="1373" t="s">
        <v>592</v>
      </c>
      <c r="X6" s="2092" t="s">
        <v>611</v>
      </c>
      <c r="Y6" s="2219" t="s">
        <v>611</v>
      </c>
      <c r="Z6" s="875" t="s">
        <v>611</v>
      </c>
      <c r="AA6" s="2080" t="s">
        <v>1457</v>
      </c>
      <c r="AB6" s="1376" t="s">
        <v>1457</v>
      </c>
      <c r="AC6" s="1376" t="s">
        <v>1457</v>
      </c>
      <c r="AD6" s="1376" t="s">
        <v>1457</v>
      </c>
      <c r="AE6" s="1376" t="s">
        <v>1457</v>
      </c>
      <c r="AF6" s="876" t="s">
        <v>1457</v>
      </c>
      <c r="AG6" s="1376" t="s">
        <v>590</v>
      </c>
      <c r="AH6" s="1376" t="s">
        <v>590</v>
      </c>
      <c r="AI6" s="1376" t="s">
        <v>590</v>
      </c>
      <c r="AJ6" s="1376" t="s">
        <v>590</v>
      </c>
      <c r="AK6" s="1376" t="s">
        <v>590</v>
      </c>
      <c r="AL6" s="1376" t="s">
        <v>590</v>
      </c>
      <c r="AM6" s="1376" t="s">
        <v>590</v>
      </c>
      <c r="AN6" s="1376" t="s">
        <v>590</v>
      </c>
      <c r="AO6" s="1376" t="s">
        <v>590</v>
      </c>
      <c r="AP6" s="1376" t="s">
        <v>590</v>
      </c>
      <c r="AQ6" s="2072" t="s">
        <v>590</v>
      </c>
      <c r="AR6" s="2092" t="s">
        <v>1439</v>
      </c>
      <c r="AS6" s="2219" t="s">
        <v>1439</v>
      </c>
      <c r="AT6" s="2219" t="s">
        <v>1439</v>
      </c>
      <c r="AU6" s="2238" t="s">
        <v>1439</v>
      </c>
      <c r="AV6" s="2096" t="s">
        <v>1440</v>
      </c>
      <c r="AW6" s="2096" t="s">
        <v>1440</v>
      </c>
      <c r="AX6" s="2096" t="s">
        <v>1440</v>
      </c>
      <c r="AY6" s="2239" t="s">
        <v>1440</v>
      </c>
      <c r="AZ6" s="2240" t="s">
        <v>591</v>
      </c>
      <c r="BA6" s="2241" t="s">
        <v>592</v>
      </c>
      <c r="BB6" s="876" t="s">
        <v>590</v>
      </c>
      <c r="BC6" s="876" t="s">
        <v>590</v>
      </c>
      <c r="BD6" s="876" t="s">
        <v>590</v>
      </c>
      <c r="BE6" s="876" t="s">
        <v>590</v>
      </c>
      <c r="BF6" s="876" t="s">
        <v>590</v>
      </c>
      <c r="BG6" s="876" t="s">
        <v>590</v>
      </c>
      <c r="BH6" s="876" t="s">
        <v>590</v>
      </c>
      <c r="BI6" s="876" t="s">
        <v>590</v>
      </c>
      <c r="BJ6" s="876" t="s">
        <v>590</v>
      </c>
      <c r="BK6" s="876" t="s">
        <v>590</v>
      </c>
      <c r="BL6" s="877" t="s">
        <v>590</v>
      </c>
      <c r="BM6" s="1374" t="s">
        <v>593</v>
      </c>
      <c r="BN6" s="1373" t="s">
        <v>592</v>
      </c>
      <c r="BO6" s="1374" t="s">
        <v>590</v>
      </c>
      <c r="BP6" s="1372" t="s">
        <v>590</v>
      </c>
      <c r="BQ6" s="1372" t="s">
        <v>590</v>
      </c>
      <c r="BR6" s="1372" t="s">
        <v>590</v>
      </c>
      <c r="BS6" s="1372" t="s">
        <v>590</v>
      </c>
      <c r="BT6" s="1372" t="s">
        <v>590</v>
      </c>
      <c r="BU6" s="1372" t="s">
        <v>590</v>
      </c>
      <c r="BV6" s="1372" t="s">
        <v>590</v>
      </c>
      <c r="BW6" s="1372" t="s">
        <v>590</v>
      </c>
      <c r="BX6" s="1377" t="s">
        <v>590</v>
      </c>
      <c r="BY6" s="1374" t="s">
        <v>593</v>
      </c>
      <c r="BZ6" s="1373" t="s">
        <v>592</v>
      </c>
      <c r="CA6" s="1374" t="s">
        <v>594</v>
      </c>
      <c r="CB6" s="1372" t="s">
        <v>594</v>
      </c>
      <c r="CC6" s="1372" t="s">
        <v>594</v>
      </c>
      <c r="CD6" s="1372" t="s">
        <v>594</v>
      </c>
      <c r="CE6" s="1372" t="s">
        <v>594</v>
      </c>
      <c r="CF6" s="1372" t="s">
        <v>594</v>
      </c>
      <c r="CG6" s="1372" t="s">
        <v>594</v>
      </c>
      <c r="CH6" s="1378" t="s">
        <v>594</v>
      </c>
      <c r="CI6" s="1379" t="s">
        <v>595</v>
      </c>
      <c r="CJ6" s="1380" t="s">
        <v>596</v>
      </c>
      <c r="CK6" s="1374" t="s">
        <v>597</v>
      </c>
      <c r="CL6" s="1372" t="s">
        <v>597</v>
      </c>
      <c r="CM6" s="1372" t="s">
        <v>597</v>
      </c>
      <c r="CN6" s="1372" t="s">
        <v>597</v>
      </c>
      <c r="CO6" s="1375" t="s">
        <v>597</v>
      </c>
      <c r="CP6" s="1375" t="s">
        <v>597</v>
      </c>
      <c r="CQ6" s="1375" t="s">
        <v>597</v>
      </c>
      <c r="CR6" s="1375" t="s">
        <v>597</v>
      </c>
      <c r="CS6" s="1375" t="s">
        <v>597</v>
      </c>
      <c r="CT6" s="1375" t="s">
        <v>597</v>
      </c>
      <c r="CU6" s="1381" t="s">
        <v>597</v>
      </c>
      <c r="CV6" s="1379" t="s">
        <v>1458</v>
      </c>
      <c r="CW6" s="1380" t="s">
        <v>598</v>
      </c>
      <c r="CX6" s="1374" t="s">
        <v>599</v>
      </c>
      <c r="CY6" s="1375" t="s">
        <v>599</v>
      </c>
      <c r="CZ6" s="1375" t="s">
        <v>599</v>
      </c>
      <c r="DA6" s="1375" t="s">
        <v>599</v>
      </c>
      <c r="DB6" s="1373" t="s">
        <v>599</v>
      </c>
      <c r="DC6" s="1379" t="s">
        <v>600</v>
      </c>
      <c r="DD6" s="1382" t="s">
        <v>601</v>
      </c>
      <c r="DE6" s="599"/>
      <c r="DF6" s="599"/>
      <c r="DG6" s="599"/>
      <c r="DH6" s="599"/>
      <c r="DI6" s="599"/>
      <c r="DJ6" s="1383" t="s">
        <v>602</v>
      </c>
      <c r="DK6" s="1384" t="s">
        <v>442</v>
      </c>
      <c r="DL6" s="1384" t="s">
        <v>603</v>
      </c>
      <c r="DM6" s="1385" t="s">
        <v>604</v>
      </c>
      <c r="DN6" s="1386" t="s">
        <v>442</v>
      </c>
      <c r="DO6" s="1386" t="s">
        <v>603</v>
      </c>
      <c r="DP6" s="1387" t="s">
        <v>605</v>
      </c>
      <c r="DQ6" s="1388" t="s">
        <v>442</v>
      </c>
      <c r="DR6" s="1388" t="s">
        <v>603</v>
      </c>
      <c r="DS6" s="1389" t="s">
        <v>606</v>
      </c>
      <c r="DT6" s="1390" t="s">
        <v>442</v>
      </c>
      <c r="DU6" s="1391" t="s">
        <v>603</v>
      </c>
      <c r="DV6" s="1392" t="s">
        <v>607</v>
      </c>
      <c r="DW6" s="1393" t="s">
        <v>442</v>
      </c>
      <c r="DX6" s="1394" t="s">
        <v>603</v>
      </c>
      <c r="DY6" s="1395" t="s">
        <v>608</v>
      </c>
      <c r="DZ6" s="1396" t="s">
        <v>442</v>
      </c>
      <c r="EA6" s="1397" t="s">
        <v>603</v>
      </c>
      <c r="EB6" s="1385" t="s">
        <v>609</v>
      </c>
      <c r="EC6" s="1398" t="s">
        <v>442</v>
      </c>
      <c r="ED6" s="1386" t="s">
        <v>603</v>
      </c>
    </row>
    <row r="7" spans="1:134" ht="27" customHeight="1">
      <c r="A7" s="3142" t="s">
        <v>610</v>
      </c>
      <c r="B7" s="2984"/>
      <c r="C7" s="2151" t="s">
        <v>611</v>
      </c>
      <c r="D7" s="2152" t="s">
        <v>611</v>
      </c>
      <c r="E7" s="2078" t="s">
        <v>590</v>
      </c>
      <c r="F7" s="1401" t="s">
        <v>590</v>
      </c>
      <c r="G7" s="1401" t="s">
        <v>590</v>
      </c>
      <c r="H7" s="1401" t="s">
        <v>590</v>
      </c>
      <c r="I7" s="1401" t="s">
        <v>590</v>
      </c>
      <c r="J7" s="1401" t="s">
        <v>590</v>
      </c>
      <c r="K7" s="1401" t="s">
        <v>590</v>
      </c>
      <c r="L7" s="1401" t="s">
        <v>590</v>
      </c>
      <c r="M7" s="1401" t="s">
        <v>590</v>
      </c>
      <c r="N7" s="1401" t="s">
        <v>590</v>
      </c>
      <c r="O7" s="1401" t="s">
        <v>590</v>
      </c>
      <c r="P7" s="1401" t="s">
        <v>590</v>
      </c>
      <c r="Q7" s="1401" t="s">
        <v>590</v>
      </c>
      <c r="R7" s="1401" t="s">
        <v>590</v>
      </c>
      <c r="S7" s="1401" t="s">
        <v>590</v>
      </c>
      <c r="T7" s="1401" t="s">
        <v>590</v>
      </c>
      <c r="U7" s="1402" t="s">
        <v>590</v>
      </c>
      <c r="V7" s="1403"/>
      <c r="W7" s="1404"/>
      <c r="X7" s="2081" t="s">
        <v>611</v>
      </c>
      <c r="Y7" s="1401" t="s">
        <v>611</v>
      </c>
      <c r="Z7" s="1405" t="s">
        <v>611</v>
      </c>
      <c r="AA7" s="1400" t="s">
        <v>590</v>
      </c>
      <c r="AB7" s="1401" t="s">
        <v>590</v>
      </c>
      <c r="AC7" s="1401" t="s">
        <v>590</v>
      </c>
      <c r="AD7" s="1401" t="s">
        <v>590</v>
      </c>
      <c r="AE7" s="1401" t="s">
        <v>590</v>
      </c>
      <c r="AF7" s="1401" t="s">
        <v>590</v>
      </c>
      <c r="AG7" s="1401" t="s">
        <v>590</v>
      </c>
      <c r="AH7" s="1401" t="s">
        <v>590</v>
      </c>
      <c r="AI7" s="1401" t="s">
        <v>590</v>
      </c>
      <c r="AJ7" s="1401" t="s">
        <v>590</v>
      </c>
      <c r="AK7" s="1401" t="s">
        <v>590</v>
      </c>
      <c r="AL7" s="1401" t="s">
        <v>590</v>
      </c>
      <c r="AM7" s="1401" t="s">
        <v>590</v>
      </c>
      <c r="AN7" s="1401" t="s">
        <v>612</v>
      </c>
      <c r="AO7" s="1401" t="s">
        <v>590</v>
      </c>
      <c r="AP7" s="1401" t="s">
        <v>590</v>
      </c>
      <c r="AQ7" s="1405" t="s">
        <v>590</v>
      </c>
      <c r="AR7" s="2081" t="s">
        <v>1439</v>
      </c>
      <c r="AS7" s="1401" t="s">
        <v>1439</v>
      </c>
      <c r="AT7" s="1401" t="s">
        <v>1439</v>
      </c>
      <c r="AU7" s="2082" t="s">
        <v>1439</v>
      </c>
      <c r="AV7" s="1401" t="s">
        <v>612</v>
      </c>
      <c r="AW7" s="1401" t="s">
        <v>612</v>
      </c>
      <c r="AX7" s="1401" t="s">
        <v>612</v>
      </c>
      <c r="AY7" s="1401" t="s">
        <v>612</v>
      </c>
      <c r="AZ7" s="2085"/>
      <c r="BA7" s="2086"/>
      <c r="BB7" s="2286" t="s">
        <v>590</v>
      </c>
      <c r="BC7" s="2283" t="s">
        <v>590</v>
      </c>
      <c r="BD7" s="1401" t="s">
        <v>590</v>
      </c>
      <c r="BE7" s="1401" t="s">
        <v>590</v>
      </c>
      <c r="BF7" s="1401" t="s">
        <v>613</v>
      </c>
      <c r="BG7" s="1401" t="s">
        <v>613</v>
      </c>
      <c r="BH7" s="1401" t="s">
        <v>613</v>
      </c>
      <c r="BI7" s="1401" t="s">
        <v>612</v>
      </c>
      <c r="BJ7" s="1401" t="s">
        <v>612</v>
      </c>
      <c r="BK7" s="1401" t="s">
        <v>612</v>
      </c>
      <c r="BL7" s="1402" t="s">
        <v>611</v>
      </c>
      <c r="BM7" s="1408"/>
      <c r="BN7" s="1407"/>
      <c r="BO7" s="1399" t="s">
        <v>590</v>
      </c>
      <c r="BP7" s="1409" t="s">
        <v>590</v>
      </c>
      <c r="BQ7" s="1409" t="s">
        <v>590</v>
      </c>
      <c r="BR7" s="1409" t="s">
        <v>590</v>
      </c>
      <c r="BS7" s="1409" t="s">
        <v>590</v>
      </c>
      <c r="BT7" s="1409" t="s">
        <v>590</v>
      </c>
      <c r="BU7" s="1409" t="s">
        <v>590</v>
      </c>
      <c r="BV7" s="1409" t="s">
        <v>590</v>
      </c>
      <c r="BW7" s="1409" t="s">
        <v>590</v>
      </c>
      <c r="BX7" s="1410" t="s">
        <v>590</v>
      </c>
      <c r="BY7" s="1411"/>
      <c r="BZ7" s="1412"/>
      <c r="CA7" s="1408"/>
      <c r="CB7" s="1413"/>
      <c r="CC7" s="1413"/>
      <c r="CD7" s="1413"/>
      <c r="CE7" s="1413"/>
      <c r="CF7" s="1413"/>
      <c r="CG7" s="1413"/>
      <c r="CH7" s="1407"/>
      <c r="CI7" s="1411"/>
      <c r="CJ7" s="1412"/>
      <c r="CK7" s="1408"/>
      <c r="CL7" s="1413"/>
      <c r="CM7" s="1413"/>
      <c r="CN7" s="1413"/>
      <c r="CO7" s="1413"/>
      <c r="CP7" s="1413"/>
      <c r="CQ7" s="1413"/>
      <c r="CR7" s="1413"/>
      <c r="CS7" s="1413"/>
      <c r="CT7" s="1413"/>
      <c r="CU7" s="1414"/>
      <c r="CV7" s="1411"/>
      <c r="CW7" s="1412"/>
      <c r="CX7" s="1408"/>
      <c r="CY7" s="1413"/>
      <c r="CZ7" s="1413"/>
      <c r="DA7" s="1413"/>
      <c r="DB7" s="1407"/>
      <c r="DC7" s="1411"/>
      <c r="DD7" s="1412"/>
      <c r="DE7" s="328" t="s">
        <v>611</v>
      </c>
      <c r="DF7" s="328"/>
      <c r="DG7" s="328"/>
      <c r="DH7" s="328"/>
      <c r="DI7" s="328"/>
      <c r="DJ7" s="1415"/>
      <c r="DK7" s="1416"/>
      <c r="DL7" s="1417"/>
      <c r="DM7" s="1418"/>
      <c r="DN7" s="1416"/>
      <c r="DO7" s="1419"/>
      <c r="DP7" s="1315"/>
      <c r="DQ7" s="1293"/>
      <c r="DR7" s="1420"/>
      <c r="DS7" s="1421"/>
      <c r="DT7" s="1293"/>
      <c r="DU7" s="1422"/>
      <c r="DV7" s="1423"/>
      <c r="DW7" s="1293"/>
      <c r="DX7" s="1424"/>
      <c r="DY7" s="1425"/>
      <c r="DZ7" s="1293"/>
      <c r="EA7" s="1426"/>
      <c r="EB7" s="1427"/>
      <c r="EC7" s="1293"/>
      <c r="ED7" s="1428"/>
    </row>
    <row r="8" spans="1:134" ht="24" customHeight="1" thickBot="1">
      <c r="A8" s="3029" t="s">
        <v>614</v>
      </c>
      <c r="B8" s="3030"/>
      <c r="C8" s="2153"/>
      <c r="D8" s="2154"/>
      <c r="E8" s="2137"/>
      <c r="F8" s="2198"/>
      <c r="G8" s="1287"/>
      <c r="H8" s="1287"/>
      <c r="I8" s="1287"/>
      <c r="J8" s="1287"/>
      <c r="K8" s="1287"/>
      <c r="L8" s="1287"/>
      <c r="M8" s="1287"/>
      <c r="N8" s="1287"/>
      <c r="O8" s="1287"/>
      <c r="P8" s="1287"/>
      <c r="Q8" s="1287"/>
      <c r="R8" s="1287"/>
      <c r="S8" s="1287"/>
      <c r="T8" s="1287"/>
      <c r="U8" s="1431"/>
      <c r="V8" s="1403"/>
      <c r="W8" s="1404"/>
      <c r="X8" s="2085"/>
      <c r="Y8" s="1413"/>
      <c r="Z8" s="1414"/>
      <c r="AA8" s="1432"/>
      <c r="AB8" s="1287"/>
      <c r="AC8" s="1287"/>
      <c r="AD8" s="1287"/>
      <c r="AE8" s="1287"/>
      <c r="AF8" s="1287"/>
      <c r="AG8" s="1287"/>
      <c r="AH8" s="1287"/>
      <c r="AI8" s="1287"/>
      <c r="AJ8" s="1287"/>
      <c r="AK8" s="1287"/>
      <c r="AL8" s="1287"/>
      <c r="AM8" s="1287"/>
      <c r="AN8" s="1287"/>
      <c r="AO8" s="1287"/>
      <c r="AP8" s="1287"/>
      <c r="AQ8" s="2075"/>
      <c r="AR8" s="2245"/>
      <c r="AS8" s="2245"/>
      <c r="AT8" s="2245"/>
      <c r="AU8" s="2245"/>
      <c r="AV8" s="1287"/>
      <c r="AW8" s="1287"/>
      <c r="AX8" s="1287"/>
      <c r="AY8" s="2075"/>
      <c r="AZ8" s="1403"/>
      <c r="BA8" s="1404"/>
      <c r="BB8" s="2222"/>
      <c r="BC8" s="2137"/>
      <c r="BD8" s="1287"/>
      <c r="BE8" s="1287"/>
      <c r="BF8" s="1287"/>
      <c r="BG8" s="1287"/>
      <c r="BH8" s="1287"/>
      <c r="BI8" s="1287"/>
      <c r="BJ8" s="1287"/>
      <c r="BK8" s="1287"/>
      <c r="BL8" s="1431"/>
      <c r="BM8" s="1433"/>
      <c r="BN8" s="1434"/>
      <c r="BO8" s="1432"/>
      <c r="BP8" s="1287"/>
      <c r="BQ8" s="1287"/>
      <c r="BR8" s="1287"/>
      <c r="BS8" s="1287"/>
      <c r="BT8" s="1287"/>
      <c r="BU8" s="1287"/>
      <c r="BV8" s="1287"/>
      <c r="BW8" s="1287"/>
      <c r="BX8" s="1431"/>
      <c r="BY8" s="1433"/>
      <c r="BZ8" s="1434"/>
      <c r="CA8" s="1432"/>
      <c r="CB8" s="1430"/>
      <c r="CC8" s="1430"/>
      <c r="CD8" s="1430"/>
      <c r="CE8" s="1430"/>
      <c r="CF8" s="1430"/>
      <c r="CG8" s="1430"/>
      <c r="CH8" s="1435"/>
      <c r="CI8" s="1433"/>
      <c r="CJ8" s="1434"/>
      <c r="CK8" s="1430"/>
      <c r="CL8" s="1430"/>
      <c r="CM8" s="1430"/>
      <c r="CN8" s="1430"/>
      <c r="CO8" s="1430"/>
      <c r="CP8" s="1430"/>
      <c r="CQ8" s="1430"/>
      <c r="CR8" s="1430"/>
      <c r="CS8" s="1430"/>
      <c r="CT8" s="1287"/>
      <c r="CU8" s="1436"/>
      <c r="CV8" s="1433"/>
      <c r="CW8" s="1437"/>
      <c r="CX8" s="1430"/>
      <c r="CY8" s="1430"/>
      <c r="CZ8" s="1430"/>
      <c r="DA8" s="1430"/>
      <c r="DB8" s="1435"/>
      <c r="DC8" s="1433"/>
      <c r="DD8" s="1434"/>
      <c r="DE8" s="328" t="s">
        <v>590</v>
      </c>
      <c r="DF8" s="328"/>
      <c r="DG8" s="328"/>
      <c r="DH8" s="328" t="s">
        <v>615</v>
      </c>
      <c r="DI8" s="328"/>
      <c r="DJ8" s="1304" t="s">
        <v>616</v>
      </c>
      <c r="DK8" s="1293"/>
      <c r="DL8" s="1417">
        <f>SUM(C97:D97)</f>
        <v>0</v>
      </c>
      <c r="DM8" s="1438" t="s">
        <v>616</v>
      </c>
      <c r="DN8" s="1293"/>
      <c r="DO8" s="1419">
        <f>SUM(X97:Z97)</f>
        <v>0</v>
      </c>
      <c r="DP8" s="1439" t="s">
        <v>617</v>
      </c>
      <c r="DQ8" s="1416"/>
      <c r="DR8" s="1420">
        <f>SUM(BB96:BL96)</f>
        <v>0</v>
      </c>
      <c r="DS8" s="1440" t="s">
        <v>618</v>
      </c>
      <c r="DT8" s="1416"/>
      <c r="DU8" s="1422">
        <f>SUM(CA96:CH96)</f>
        <v>0</v>
      </c>
      <c r="DV8" s="1441" t="s">
        <v>618</v>
      </c>
      <c r="DW8" s="1416"/>
      <c r="DX8" s="1424">
        <f>SUM(CK96:CU96)</f>
        <v>0</v>
      </c>
      <c r="DY8" s="1442" t="s">
        <v>618</v>
      </c>
      <c r="DZ8" s="1416"/>
      <c r="EA8" s="1426">
        <f>SUM(CX96:DB96)</f>
        <v>0</v>
      </c>
      <c r="EB8" s="1443" t="s">
        <v>618</v>
      </c>
      <c r="EC8" s="1416"/>
      <c r="ED8" s="1428">
        <f>SUM(BO96:BX96)</f>
        <v>0</v>
      </c>
    </row>
    <row r="9" spans="1:134" ht="24" customHeight="1">
      <c r="A9" s="3029" t="s">
        <v>619</v>
      </c>
      <c r="B9" s="3030"/>
      <c r="C9" s="2155"/>
      <c r="D9" s="2156"/>
      <c r="E9" s="1444"/>
      <c r="F9" s="1447"/>
      <c r="G9" s="1447"/>
      <c r="H9" s="1447"/>
      <c r="I9" s="1447"/>
      <c r="J9" s="1447"/>
      <c r="K9" s="1447"/>
      <c r="L9" s="1447"/>
      <c r="M9" s="1447"/>
      <c r="N9" s="1447"/>
      <c r="O9" s="1447"/>
      <c r="P9" s="1447"/>
      <c r="Q9" s="1447"/>
      <c r="R9" s="1447"/>
      <c r="S9" s="1447"/>
      <c r="T9" s="1447"/>
      <c r="U9" s="1445"/>
      <c r="V9" s="1448"/>
      <c r="W9" s="1449"/>
      <c r="X9" s="2083"/>
      <c r="Y9" s="1447"/>
      <c r="Z9" s="1450"/>
      <c r="AA9" s="1446"/>
      <c r="AB9" s="1447"/>
      <c r="AC9" s="1447"/>
      <c r="AD9" s="1447"/>
      <c r="AE9" s="1447"/>
      <c r="AF9" s="1447"/>
      <c r="AG9" s="1447"/>
      <c r="AH9" s="1447"/>
      <c r="AI9" s="1447"/>
      <c r="AJ9" s="1447"/>
      <c r="AK9" s="1447"/>
      <c r="AL9" s="1447"/>
      <c r="AM9" s="1447"/>
      <c r="AN9" s="1447"/>
      <c r="AO9" s="1447"/>
      <c r="AP9" s="1447"/>
      <c r="AQ9" s="1450"/>
      <c r="AR9" s="2083"/>
      <c r="AS9" s="1447"/>
      <c r="AT9" s="1447"/>
      <c r="AU9" s="2084"/>
      <c r="AV9" s="1444"/>
      <c r="AW9" s="1447"/>
      <c r="AX9" s="1447"/>
      <c r="AY9" s="2084"/>
      <c r="AZ9" s="1451"/>
      <c r="BA9" s="1449"/>
      <c r="BB9" s="2287"/>
      <c r="BC9" s="2284"/>
      <c r="BD9" s="1447"/>
      <c r="BE9" s="1447"/>
      <c r="BF9" s="1447"/>
      <c r="BG9" s="1447"/>
      <c r="BH9" s="1447"/>
      <c r="BI9" s="1447"/>
      <c r="BJ9" s="1447"/>
      <c r="BK9" s="1447"/>
      <c r="BL9" s="1445"/>
      <c r="BM9" s="1452"/>
      <c r="BN9" s="1453"/>
      <c r="BO9" s="1446"/>
      <c r="BP9" s="1447"/>
      <c r="BQ9" s="1447"/>
      <c r="BR9" s="1447"/>
      <c r="BS9" s="1447"/>
      <c r="BT9" s="1447"/>
      <c r="BU9" s="1447"/>
      <c r="BV9" s="1447"/>
      <c r="BW9" s="1447"/>
      <c r="BX9" s="1445"/>
      <c r="BY9" s="1452"/>
      <c r="BZ9" s="1453"/>
      <c r="CA9" s="1446"/>
      <c r="CB9" s="1447"/>
      <c r="CC9" s="1447"/>
      <c r="CD9" s="1447"/>
      <c r="CE9" s="1447"/>
      <c r="CF9" s="1447"/>
      <c r="CG9" s="1447"/>
      <c r="CH9" s="1445"/>
      <c r="CI9" s="1452"/>
      <c r="CJ9" s="1453"/>
      <c r="CK9" s="1446"/>
      <c r="CL9" s="1444"/>
      <c r="CM9" s="1447"/>
      <c r="CN9" s="1447"/>
      <c r="CO9" s="1447"/>
      <c r="CP9" s="1447"/>
      <c r="CQ9" s="1447"/>
      <c r="CR9" s="1447"/>
      <c r="CS9" s="1447"/>
      <c r="CT9" s="1447"/>
      <c r="CU9" s="1450"/>
      <c r="CV9" s="1432"/>
      <c r="CW9" s="1435"/>
      <c r="CX9" s="1446"/>
      <c r="CY9" s="1447"/>
      <c r="CZ9" s="1447"/>
      <c r="DA9" s="1447"/>
      <c r="DB9" s="1445"/>
      <c r="DC9" s="1432"/>
      <c r="DD9" s="1431"/>
      <c r="DE9" s="328" t="s">
        <v>613</v>
      </c>
      <c r="DF9" s="328"/>
      <c r="DG9" s="328"/>
      <c r="DH9" s="328">
        <v>137</v>
      </c>
      <c r="DI9" s="328"/>
      <c r="DJ9" s="1304" t="s">
        <v>620</v>
      </c>
      <c r="DK9" s="1293"/>
      <c r="DL9" s="1417">
        <f>SUM(C100:D100)</f>
        <v>0</v>
      </c>
      <c r="DM9" s="1438" t="s">
        <v>620</v>
      </c>
      <c r="DN9" s="1293"/>
      <c r="DO9" s="1419">
        <f>SUM(X100:Z100)</f>
        <v>0</v>
      </c>
      <c r="DP9" s="1439" t="s">
        <v>621</v>
      </c>
      <c r="DQ9" s="1416"/>
      <c r="DR9" s="1420">
        <f>SUM(BB112:BL112)</f>
        <v>0</v>
      </c>
      <c r="DS9" s="1421" t="s">
        <v>481</v>
      </c>
      <c r="DT9" s="1293"/>
      <c r="DU9" s="1422">
        <f>SUM(CA101:CH101)</f>
        <v>0</v>
      </c>
      <c r="DV9" s="1423" t="s">
        <v>481</v>
      </c>
      <c r="DW9" s="1293"/>
      <c r="DX9" s="1424">
        <f>SUM(CK101:CU101)</f>
        <v>0</v>
      </c>
      <c r="DY9" s="1425" t="s">
        <v>481</v>
      </c>
      <c r="DZ9" s="1293"/>
      <c r="EA9" s="1426">
        <f>SUM(CX101:DB101)</f>
        <v>0</v>
      </c>
      <c r="EB9" s="1443" t="s">
        <v>622</v>
      </c>
      <c r="EC9" s="1416"/>
      <c r="ED9" s="1428">
        <f>SUM(BO112:BX112)</f>
        <v>0</v>
      </c>
    </row>
    <row r="10" spans="1:134" ht="24" customHeight="1">
      <c r="A10" s="3029" t="s">
        <v>623</v>
      </c>
      <c r="B10" s="3030"/>
      <c r="C10" s="2155"/>
      <c r="D10" s="2156"/>
      <c r="E10" s="1444"/>
      <c r="F10" s="1447"/>
      <c r="G10" s="1447"/>
      <c r="H10" s="1447"/>
      <c r="I10" s="1447"/>
      <c r="J10" s="1447"/>
      <c r="K10" s="1447"/>
      <c r="L10" s="1447"/>
      <c r="M10" s="1447"/>
      <c r="N10" s="1447"/>
      <c r="O10" s="1447"/>
      <c r="P10" s="1447"/>
      <c r="Q10" s="1447"/>
      <c r="R10" s="1447"/>
      <c r="S10" s="1447"/>
      <c r="T10" s="1447"/>
      <c r="U10" s="1445"/>
      <c r="V10" s="1454"/>
      <c r="W10" s="1455"/>
      <c r="X10" s="2083"/>
      <c r="Y10" s="1447"/>
      <c r="Z10" s="1450"/>
      <c r="AA10" s="1446"/>
      <c r="AB10" s="1447"/>
      <c r="AC10" s="1447"/>
      <c r="AD10" s="1447"/>
      <c r="AE10" s="1447"/>
      <c r="AF10" s="1447"/>
      <c r="AG10" s="1447"/>
      <c r="AH10" s="1447"/>
      <c r="AI10" s="1447"/>
      <c r="AJ10" s="1447"/>
      <c r="AK10" s="1447"/>
      <c r="AL10" s="1447"/>
      <c r="AM10" s="1447"/>
      <c r="AN10" s="1447"/>
      <c r="AO10" s="1447"/>
      <c r="AP10" s="1447"/>
      <c r="AQ10" s="1450"/>
      <c r="AR10" s="2083"/>
      <c r="AS10" s="1447"/>
      <c r="AT10" s="1447"/>
      <c r="AU10" s="2084"/>
      <c r="AV10" s="1444"/>
      <c r="AW10" s="1447"/>
      <c r="AX10" s="1447"/>
      <c r="AY10" s="2084"/>
      <c r="AZ10" s="1456"/>
      <c r="BA10" s="1455"/>
      <c r="BB10" s="2287"/>
      <c r="BC10" s="2284"/>
      <c r="BD10" s="1447"/>
      <c r="BE10" s="1447"/>
      <c r="BF10" s="1447"/>
      <c r="BG10" s="1447"/>
      <c r="BH10" s="1447"/>
      <c r="BI10" s="1447"/>
      <c r="BJ10" s="1447"/>
      <c r="BK10" s="1447"/>
      <c r="BL10" s="1445"/>
      <c r="BM10" s="1457"/>
      <c r="BN10" s="1455"/>
      <c r="BO10" s="1446"/>
      <c r="BP10" s="1447"/>
      <c r="BQ10" s="1447"/>
      <c r="BR10" s="1447"/>
      <c r="BS10" s="1447"/>
      <c r="BT10" s="1447"/>
      <c r="BU10" s="1447"/>
      <c r="BV10" s="1447"/>
      <c r="BW10" s="1447"/>
      <c r="BX10" s="1445"/>
      <c r="BY10" s="1457"/>
      <c r="BZ10" s="1455"/>
      <c r="CA10" s="1446"/>
      <c r="CB10" s="1447"/>
      <c r="CC10" s="1447"/>
      <c r="CD10" s="1447"/>
      <c r="CE10" s="1447"/>
      <c r="CF10" s="1447"/>
      <c r="CG10" s="1447"/>
      <c r="CH10" s="1445"/>
      <c r="CI10" s="1457"/>
      <c r="CJ10" s="1455"/>
      <c r="CK10" s="1446"/>
      <c r="CL10" s="1444"/>
      <c r="CM10" s="1447"/>
      <c r="CN10" s="1447"/>
      <c r="CO10" s="1447"/>
      <c r="CP10" s="1447"/>
      <c r="CQ10" s="1447"/>
      <c r="CR10" s="1447"/>
      <c r="CS10" s="1447"/>
      <c r="CT10" s="1447"/>
      <c r="CU10" s="1450"/>
      <c r="CV10" s="1408"/>
      <c r="CW10" s="1458"/>
      <c r="CX10" s="1446"/>
      <c r="CY10" s="1447"/>
      <c r="CZ10" s="1447"/>
      <c r="DA10" s="1447"/>
      <c r="DB10" s="1445"/>
      <c r="DC10" s="1408"/>
      <c r="DD10" s="1407"/>
      <c r="DE10" s="328" t="s">
        <v>612</v>
      </c>
      <c r="DF10" s="328"/>
      <c r="DG10" s="328"/>
      <c r="DH10" s="328">
        <v>183</v>
      </c>
      <c r="DI10" s="328"/>
      <c r="DJ10" s="1304" t="s">
        <v>481</v>
      </c>
      <c r="DK10" s="1293"/>
      <c r="DL10" s="1417">
        <f>SUM(C101:D101)</f>
        <v>0</v>
      </c>
      <c r="DM10" s="1438" t="s">
        <v>481</v>
      </c>
      <c r="DN10" s="1293"/>
      <c r="DO10" s="1419">
        <f>SUM(X101:Z101)</f>
        <v>0</v>
      </c>
      <c r="DP10" s="1315" t="s">
        <v>481</v>
      </c>
      <c r="DQ10" s="1293"/>
      <c r="DR10" s="1420">
        <f>SUM(BB101:BL101)</f>
        <v>0</v>
      </c>
      <c r="DS10" s="1421" t="s">
        <v>561</v>
      </c>
      <c r="DT10" s="1293"/>
      <c r="DU10" s="1422">
        <f>SUM(CA102:CH102)</f>
        <v>0</v>
      </c>
      <c r="DV10" s="1423" t="s">
        <v>561</v>
      </c>
      <c r="DW10" s="1293"/>
      <c r="DX10" s="1424">
        <f>SUM(CK102:CU102)</f>
        <v>0</v>
      </c>
      <c r="DY10" s="1425" t="s">
        <v>561</v>
      </c>
      <c r="DZ10" s="1293"/>
      <c r="EA10" s="1426">
        <f>SUM(CX102:DB102)</f>
        <v>0</v>
      </c>
      <c r="EB10" s="1427" t="s">
        <v>481</v>
      </c>
      <c r="EC10" s="1293"/>
      <c r="ED10" s="1428">
        <f>SUM(BO101:BZ101)</f>
        <v>0</v>
      </c>
    </row>
    <row r="11" spans="1:134" ht="24" customHeight="1">
      <c r="A11" s="3029" t="str">
        <f>"Antal måneder ansat januar til og med marts"&amp; budgetår&amp;" (Hvis alle skriv 3)"</f>
        <v>Antal måneder ansat januar til og med marts2026 (Hvis alle skriv 3)</v>
      </c>
      <c r="B11" s="3030"/>
      <c r="C11" s="2157"/>
      <c r="D11" s="2158"/>
      <c r="E11" s="1406"/>
      <c r="F11" s="1413"/>
      <c r="G11" s="1413"/>
      <c r="H11" s="1413"/>
      <c r="I11" s="1413"/>
      <c r="J11" s="1413"/>
      <c r="K11" s="1413"/>
      <c r="L11" s="1413"/>
      <c r="M11" s="1413"/>
      <c r="N11" s="1413"/>
      <c r="O11" s="1413"/>
      <c r="P11" s="1413"/>
      <c r="Q11" s="1413"/>
      <c r="R11" s="1413"/>
      <c r="S11" s="1413"/>
      <c r="T11" s="1413"/>
      <c r="U11" s="1407"/>
      <c r="V11" s="1454"/>
      <c r="W11" s="1455"/>
      <c r="X11" s="2085"/>
      <c r="Y11" s="1413"/>
      <c r="Z11" s="1414"/>
      <c r="AA11" s="1408"/>
      <c r="AB11" s="1413"/>
      <c r="AC11" s="1413"/>
      <c r="AD11" s="1413"/>
      <c r="AE11" s="1413"/>
      <c r="AF11" s="1413"/>
      <c r="AG11" s="1413"/>
      <c r="AH11" s="1413"/>
      <c r="AI11" s="1413"/>
      <c r="AJ11" s="1413"/>
      <c r="AK11" s="1413"/>
      <c r="AL11" s="1413"/>
      <c r="AM11" s="1413"/>
      <c r="AN11" s="1413"/>
      <c r="AO11" s="1413"/>
      <c r="AP11" s="1413"/>
      <c r="AQ11" s="1414"/>
      <c r="AR11" s="2085"/>
      <c r="AS11" s="1413"/>
      <c r="AT11" s="1413"/>
      <c r="AU11" s="2086"/>
      <c r="AV11" s="1406"/>
      <c r="AW11" s="1413"/>
      <c r="AX11" s="1413"/>
      <c r="AY11" s="2086"/>
      <c r="AZ11" s="1459"/>
      <c r="BA11" s="1455"/>
      <c r="BB11" s="2288"/>
      <c r="BC11" s="2285"/>
      <c r="BD11" s="1413"/>
      <c r="BE11" s="1413"/>
      <c r="BF11" s="1413"/>
      <c r="BG11" s="1413"/>
      <c r="BH11" s="1413"/>
      <c r="BI11" s="1413"/>
      <c r="BJ11" s="1413"/>
      <c r="BK11" s="1413"/>
      <c r="BL11" s="1407"/>
      <c r="BM11" s="1457"/>
      <c r="BN11" s="1455"/>
      <c r="BO11" s="1408"/>
      <c r="BP11" s="1413"/>
      <c r="BQ11" s="1413"/>
      <c r="BR11" s="1413"/>
      <c r="BS11" s="1413"/>
      <c r="BT11" s="1413"/>
      <c r="BU11" s="1413"/>
      <c r="BV11" s="1413"/>
      <c r="BW11" s="1413"/>
      <c r="BX11" s="1407"/>
      <c r="BY11" s="1457"/>
      <c r="BZ11" s="1455"/>
      <c r="CA11" s="1460"/>
      <c r="CB11" s="1461"/>
      <c r="CC11" s="1461"/>
      <c r="CD11" s="1461"/>
      <c r="CE11" s="1461"/>
      <c r="CF11" s="1461"/>
      <c r="CG11" s="1461"/>
      <c r="CH11" s="1455"/>
      <c r="CI11" s="1457"/>
      <c r="CJ11" s="1455"/>
      <c r="CK11" s="1462"/>
      <c r="CL11" s="1414"/>
      <c r="CM11" s="1414"/>
      <c r="CN11" s="1414"/>
      <c r="CO11" s="1414"/>
      <c r="CP11" s="1414"/>
      <c r="CQ11" s="1414"/>
      <c r="CR11" s="1414"/>
      <c r="CS11" s="1414"/>
      <c r="CT11" s="1414"/>
      <c r="CU11" s="1414"/>
      <c r="CV11" s="1408"/>
      <c r="CW11" s="1458"/>
      <c r="CX11" s="1462"/>
      <c r="CY11" s="1414"/>
      <c r="CZ11" s="1414"/>
      <c r="DA11" s="1413"/>
      <c r="DB11" s="1407"/>
      <c r="DC11" s="1408"/>
      <c r="DD11" s="1407"/>
      <c r="DE11" s="328"/>
      <c r="DF11" s="328"/>
      <c r="DG11" s="328"/>
      <c r="DH11" s="328"/>
      <c r="DI11" s="328"/>
      <c r="DJ11" s="1304" t="s">
        <v>561</v>
      </c>
      <c r="DK11" s="1293"/>
      <c r="DL11" s="1417">
        <f>SUM(C102:D102)</f>
        <v>0</v>
      </c>
      <c r="DM11" s="1438" t="s">
        <v>561</v>
      </c>
      <c r="DN11" s="1293"/>
      <c r="DO11" s="1419">
        <f>SUM(X102:Z102)</f>
        <v>0</v>
      </c>
      <c r="DP11" s="1315" t="s">
        <v>561</v>
      </c>
      <c r="DQ11" s="1293"/>
      <c r="DR11" s="1420">
        <f>SUM(BB102:BL102)</f>
        <v>0</v>
      </c>
      <c r="DS11" s="1421" t="s">
        <v>624</v>
      </c>
      <c r="DT11" s="1293"/>
      <c r="DU11" s="1422">
        <f>SUM(CA103:CH103)</f>
        <v>0</v>
      </c>
      <c r="DV11" s="1423" t="s">
        <v>624</v>
      </c>
      <c r="DW11" s="1293"/>
      <c r="DX11" s="1424">
        <f>SUM(CK103:CU103)</f>
        <v>0</v>
      </c>
      <c r="DY11" s="1425" t="s">
        <v>624</v>
      </c>
      <c r="DZ11" s="1293"/>
      <c r="EA11" s="1426">
        <f>SUM(CX103:DB103)</f>
        <v>0</v>
      </c>
      <c r="EB11" s="1427" t="s">
        <v>561</v>
      </c>
      <c r="EC11" s="1293"/>
      <c r="ED11" s="1428">
        <f>SUM(BO102:BZ102)</f>
        <v>0</v>
      </c>
    </row>
    <row r="12" spans="1:134" ht="24" customHeight="1">
      <c r="A12" s="1429" t="str">
        <f>"Antal måneder ansat april til og med juli "&amp;budgetår&amp;" (Hvis alle skriv 4)"</f>
        <v>Antal måneder ansat april til og med juli 2026 (Hvis alle skriv 4)</v>
      </c>
      <c r="B12" s="2136"/>
      <c r="C12" s="2159"/>
      <c r="D12" s="2160"/>
      <c r="E12" s="592"/>
      <c r="F12" s="2199"/>
      <c r="G12" s="1463"/>
      <c r="H12" s="1463"/>
      <c r="I12" s="1463"/>
      <c r="J12" s="1463"/>
      <c r="K12" s="1463"/>
      <c r="L12" s="1463"/>
      <c r="M12" s="1463"/>
      <c r="N12" s="1463"/>
      <c r="O12" s="1463"/>
      <c r="P12" s="1463"/>
      <c r="Q12" s="1463"/>
      <c r="R12" s="1463"/>
      <c r="S12" s="1463"/>
      <c r="T12" s="1463"/>
      <c r="U12" s="1412"/>
      <c r="V12" s="1464"/>
      <c r="W12" s="1453"/>
      <c r="X12" s="2220"/>
      <c r="Y12" s="2199"/>
      <c r="Z12" s="1465"/>
      <c r="AA12" s="1411"/>
      <c r="AB12" s="1463"/>
      <c r="AC12" s="1463"/>
      <c r="AD12" s="1463"/>
      <c r="AE12" s="1463"/>
      <c r="AF12" s="1463"/>
      <c r="AG12" s="1463"/>
      <c r="AH12" s="1463"/>
      <c r="AI12" s="1463"/>
      <c r="AJ12" s="1463"/>
      <c r="AK12" s="1463"/>
      <c r="AL12" s="1463"/>
      <c r="AM12" s="1463"/>
      <c r="AN12" s="1463"/>
      <c r="AO12" s="1463"/>
      <c r="AP12" s="1463"/>
      <c r="AQ12" s="1465"/>
      <c r="AR12" s="2220"/>
      <c r="AS12" s="2199"/>
      <c r="AT12" s="2199"/>
      <c r="AU12" s="2246"/>
      <c r="AV12" s="592"/>
      <c r="AW12" s="2199"/>
      <c r="AX12" s="2199"/>
      <c r="AY12" s="2246"/>
      <c r="AZ12" s="1459"/>
      <c r="BA12" s="1466"/>
      <c r="BB12" s="2220"/>
      <c r="BC12" s="592"/>
      <c r="BD12" s="1463"/>
      <c r="BE12" s="1463"/>
      <c r="BF12" s="1463"/>
      <c r="BG12" s="1463"/>
      <c r="BH12" s="1463"/>
      <c r="BI12" s="1463"/>
      <c r="BJ12" s="1463"/>
      <c r="BK12" s="1463"/>
      <c r="BL12" s="1412"/>
      <c r="BM12" s="1452"/>
      <c r="BN12" s="1453"/>
      <c r="BO12" s="1411"/>
      <c r="BP12" s="1463"/>
      <c r="BQ12" s="1463"/>
      <c r="BR12" s="1463"/>
      <c r="BS12" s="1463"/>
      <c r="BT12" s="1463"/>
      <c r="BU12" s="1463"/>
      <c r="BV12" s="1463"/>
      <c r="BW12" s="1463"/>
      <c r="BX12" s="1412"/>
      <c r="BY12" s="1452"/>
      <c r="BZ12" s="1453"/>
      <c r="CA12" s="1467"/>
      <c r="CB12" s="1461"/>
      <c r="CC12" s="1461"/>
      <c r="CD12" s="1461"/>
      <c r="CE12" s="1461"/>
      <c r="CF12" s="1461"/>
      <c r="CG12" s="1461"/>
      <c r="CH12" s="1453"/>
      <c r="CI12" s="1452"/>
      <c r="CJ12" s="1453"/>
      <c r="CK12" s="816"/>
      <c r="CL12" s="1465"/>
      <c r="CM12" s="1465"/>
      <c r="CN12" s="1465"/>
      <c r="CO12" s="1465"/>
      <c r="CP12" s="1465"/>
      <c r="CQ12" s="1465"/>
      <c r="CR12" s="1465"/>
      <c r="CS12" s="1465"/>
      <c r="CT12" s="1465"/>
      <c r="CU12" s="1465"/>
      <c r="CV12" s="1411"/>
      <c r="CW12" s="593"/>
      <c r="CX12" s="816"/>
      <c r="CY12" s="1465"/>
      <c r="CZ12" s="1465"/>
      <c r="DA12" s="1463"/>
      <c r="DB12" s="1412"/>
      <c r="DC12" s="1411"/>
      <c r="DD12" s="1412"/>
      <c r="DE12" s="328"/>
      <c r="DF12" s="328"/>
      <c r="DG12" s="328"/>
      <c r="DH12" s="328"/>
      <c r="DI12" s="328"/>
      <c r="DJ12" s="1304" t="s">
        <v>625</v>
      </c>
      <c r="DK12" s="1293"/>
      <c r="DL12" s="1417">
        <f>SUM(C99:W99)</f>
        <v>0</v>
      </c>
      <c r="DM12" s="1438" t="s">
        <v>625</v>
      </c>
      <c r="DN12" s="1293"/>
      <c r="DO12" s="1419">
        <f>SUM(X99:BA99)</f>
        <v>0</v>
      </c>
      <c r="DP12" s="1315" t="s">
        <v>624</v>
      </c>
      <c r="DQ12" s="1293"/>
      <c r="DR12" s="1420">
        <f>SUM(BB103:BL103)</f>
        <v>0</v>
      </c>
      <c r="DS12" s="1421"/>
      <c r="DT12" s="1293"/>
      <c r="DU12" s="1422"/>
      <c r="DV12" s="1423" t="s">
        <v>626</v>
      </c>
      <c r="DW12" s="1293"/>
      <c r="DX12" s="1424">
        <f>SUM(CK99:CW99)</f>
        <v>0</v>
      </c>
      <c r="DY12" s="1425" t="s">
        <v>626</v>
      </c>
      <c r="DZ12" s="1293"/>
      <c r="EA12" s="1426">
        <f>SUM(CX99:DD99)</f>
        <v>0</v>
      </c>
      <c r="EB12" s="1427" t="s">
        <v>624</v>
      </c>
      <c r="EC12" s="1293"/>
      <c r="ED12" s="1428">
        <f>SUM(BO103:BZ103)</f>
        <v>0</v>
      </c>
    </row>
    <row r="13" spans="1:134" ht="24" customHeight="1" thickBot="1">
      <c r="A13" s="3029" t="str">
        <f>"Ansat antal måneder august til december "&amp;budgetår&amp;" (Hvis alle skriv 5)"</f>
        <v>Ansat antal måneder august til december 2026 (Hvis alle skriv 5)</v>
      </c>
      <c r="B13" s="3030"/>
      <c r="C13" s="2161"/>
      <c r="D13" s="2162"/>
      <c r="E13" s="2200"/>
      <c r="F13" s="2077"/>
      <c r="G13" s="1470"/>
      <c r="H13" s="1470"/>
      <c r="I13" s="1470"/>
      <c r="J13" s="1470"/>
      <c r="K13" s="1470"/>
      <c r="L13" s="1470"/>
      <c r="M13" s="1470"/>
      <c r="N13" s="1470"/>
      <c r="O13" s="1470"/>
      <c r="P13" s="1470"/>
      <c r="Q13" s="1470"/>
      <c r="R13" s="1470"/>
      <c r="S13" s="1470"/>
      <c r="T13" s="1470"/>
      <c r="U13" s="1468"/>
      <c r="V13" s="1471"/>
      <c r="W13" s="1472"/>
      <c r="X13" s="1469"/>
      <c r="Y13" s="2077"/>
      <c r="Z13" s="1473"/>
      <c r="AA13" s="1469"/>
      <c r="AB13" s="1470"/>
      <c r="AC13" s="1470"/>
      <c r="AD13" s="1470"/>
      <c r="AE13" s="1470"/>
      <c r="AF13" s="1470"/>
      <c r="AG13" s="1470"/>
      <c r="AH13" s="1470"/>
      <c r="AI13" s="1470"/>
      <c r="AJ13" s="1470"/>
      <c r="AK13" s="1470"/>
      <c r="AL13" s="1470"/>
      <c r="AM13" s="1470"/>
      <c r="AN13" s="1470"/>
      <c r="AO13" s="1470"/>
      <c r="AP13" s="1470"/>
      <c r="AQ13" s="2073"/>
      <c r="AR13" s="1469"/>
      <c r="AS13" s="2077"/>
      <c r="AT13" s="2077"/>
      <c r="AU13" s="2087"/>
      <c r="AV13" s="2200"/>
      <c r="AW13" s="2077"/>
      <c r="AX13" s="2077"/>
      <c r="AY13" s="2087"/>
      <c r="AZ13" s="878"/>
      <c r="BA13" s="879"/>
      <c r="BB13" s="2289"/>
      <c r="BC13" s="2200"/>
      <c r="BD13" s="1470"/>
      <c r="BE13" s="1470"/>
      <c r="BF13" s="1470"/>
      <c r="BG13" s="1470"/>
      <c r="BH13" s="1470"/>
      <c r="BI13" s="1470"/>
      <c r="BJ13" s="1470"/>
      <c r="BK13" s="1470"/>
      <c r="BL13" s="1468"/>
      <c r="BM13" s="1474"/>
      <c r="BN13" s="1472"/>
      <c r="BO13" s="1469"/>
      <c r="BP13" s="1470"/>
      <c r="BQ13" s="1470"/>
      <c r="BR13" s="1470"/>
      <c r="BS13" s="1470"/>
      <c r="BT13" s="1470"/>
      <c r="BU13" s="1470"/>
      <c r="BV13" s="1470"/>
      <c r="BW13" s="1470"/>
      <c r="BX13" s="1468"/>
      <c r="BY13" s="1474"/>
      <c r="BZ13" s="1472"/>
      <c r="CA13" s="1475"/>
      <c r="CB13" s="1476"/>
      <c r="CC13" s="1476"/>
      <c r="CD13" s="1476"/>
      <c r="CE13" s="1476"/>
      <c r="CF13" s="1476"/>
      <c r="CG13" s="1476"/>
      <c r="CH13" s="1472"/>
      <c r="CI13" s="1474"/>
      <c r="CJ13" s="1472"/>
      <c r="CK13" s="1477"/>
      <c r="CL13" s="1473"/>
      <c r="CM13" s="1473"/>
      <c r="CN13" s="1473"/>
      <c r="CO13" s="1473"/>
      <c r="CP13" s="1473"/>
      <c r="CQ13" s="1473"/>
      <c r="CR13" s="1473"/>
      <c r="CS13" s="1473"/>
      <c r="CT13" s="1473"/>
      <c r="CU13" s="1473"/>
      <c r="CV13" s="1469"/>
      <c r="CW13" s="1478"/>
      <c r="CX13" s="1477"/>
      <c r="CY13" s="1473"/>
      <c r="CZ13" s="1473"/>
      <c r="DA13" s="1470"/>
      <c r="DB13" s="1468"/>
      <c r="DC13" s="1469"/>
      <c r="DD13" s="1468"/>
      <c r="DE13" s="328"/>
      <c r="DF13" s="328"/>
      <c r="DG13" s="328" t="s">
        <v>449</v>
      </c>
      <c r="DH13" s="328"/>
      <c r="DI13" s="328"/>
      <c r="DJ13" s="1304" t="s">
        <v>624</v>
      </c>
      <c r="DK13" s="1293"/>
      <c r="DL13" s="1417">
        <f>SUM(C103:D103)</f>
        <v>0</v>
      </c>
      <c r="DM13" s="1438" t="s">
        <v>624</v>
      </c>
      <c r="DN13" s="1293"/>
      <c r="DO13" s="1419">
        <f>SUM(X103:Z103)</f>
        <v>0</v>
      </c>
      <c r="DP13" s="1315" t="s">
        <v>625</v>
      </c>
      <c r="DQ13" s="1293"/>
      <c r="DR13" s="1420">
        <f>SUM(BB99:BN99)</f>
        <v>0</v>
      </c>
      <c r="DS13" s="1421" t="s">
        <v>627</v>
      </c>
      <c r="DT13" s="1293"/>
      <c r="DU13" s="1422">
        <f>SUM(CA104:CH104)</f>
        <v>0</v>
      </c>
      <c r="DV13" s="1423" t="s">
        <v>627</v>
      </c>
      <c r="DW13" s="1293"/>
      <c r="DX13" s="1424">
        <f>SUM(CK104:CU104)</f>
        <v>0</v>
      </c>
      <c r="DY13" s="1425" t="s">
        <v>627</v>
      </c>
      <c r="DZ13" s="1293"/>
      <c r="EA13" s="1426">
        <f>SUM(CX104:DB104)</f>
        <v>0</v>
      </c>
      <c r="EB13" s="1427" t="s">
        <v>626</v>
      </c>
      <c r="EC13" s="1293"/>
      <c r="ED13" s="1428">
        <f>SUM(BO99:BZ99)</f>
        <v>0</v>
      </c>
    </row>
    <row r="14" spans="1:134" ht="24" customHeight="1" thickBot="1">
      <c r="A14" s="3029" t="s">
        <v>447</v>
      </c>
      <c r="B14" s="3030"/>
      <c r="C14" s="2163">
        <f>+C11+C13+C12</f>
        <v>0</v>
      </c>
      <c r="D14" s="2164">
        <f>+D11+D13+D12</f>
        <v>0</v>
      </c>
      <c r="E14" s="880">
        <f t="shared" ref="E14:DD14" si="0">+E11+E13+E12</f>
        <v>0</v>
      </c>
      <c r="F14" s="1480">
        <f t="shared" ref="F14" si="1">+F11+F13+F12</f>
        <v>0</v>
      </c>
      <c r="G14" s="1480">
        <f t="shared" si="0"/>
        <v>0</v>
      </c>
      <c r="H14" s="1480">
        <f t="shared" ref="H14:I14" si="2">+H11+H13+H12</f>
        <v>0</v>
      </c>
      <c r="I14" s="1480">
        <f t="shared" si="2"/>
        <v>0</v>
      </c>
      <c r="J14" s="1480">
        <f t="shared" si="0"/>
        <v>0</v>
      </c>
      <c r="K14" s="1480">
        <f t="shared" si="0"/>
        <v>0</v>
      </c>
      <c r="L14" s="1480">
        <f t="shared" ref="L14" si="3">+L11+L13+L12</f>
        <v>0</v>
      </c>
      <c r="M14" s="1480">
        <f t="shared" si="0"/>
        <v>0</v>
      </c>
      <c r="N14" s="1480">
        <f t="shared" si="0"/>
        <v>0</v>
      </c>
      <c r="O14" s="1480">
        <f t="shared" si="0"/>
        <v>0</v>
      </c>
      <c r="P14" s="1480">
        <f t="shared" si="0"/>
        <v>0</v>
      </c>
      <c r="Q14" s="1480">
        <f t="shared" si="0"/>
        <v>0</v>
      </c>
      <c r="R14" s="1480">
        <f t="shared" si="0"/>
        <v>0</v>
      </c>
      <c r="S14" s="1480">
        <f t="shared" si="0"/>
        <v>0</v>
      </c>
      <c r="T14" s="1480">
        <f t="shared" si="0"/>
        <v>0</v>
      </c>
      <c r="U14" s="1481">
        <f t="shared" si="0"/>
        <v>0</v>
      </c>
      <c r="V14" s="880">
        <f t="shared" si="0"/>
        <v>0</v>
      </c>
      <c r="W14" s="1481">
        <f t="shared" si="0"/>
        <v>0</v>
      </c>
      <c r="X14" s="2088">
        <f t="shared" si="0"/>
        <v>0</v>
      </c>
      <c r="Y14" s="1480">
        <f t="shared" ref="Y14" si="4">+Y11+Y13+Y12</f>
        <v>0</v>
      </c>
      <c r="Z14" s="873">
        <f t="shared" si="0"/>
        <v>0</v>
      </c>
      <c r="AA14" s="1479">
        <f t="shared" si="0"/>
        <v>0</v>
      </c>
      <c r="AB14" s="1480">
        <f t="shared" si="0"/>
        <v>0</v>
      </c>
      <c r="AC14" s="1480">
        <f t="shared" si="0"/>
        <v>0</v>
      </c>
      <c r="AD14" s="1480">
        <f t="shared" si="0"/>
        <v>0</v>
      </c>
      <c r="AE14" s="1480">
        <f t="shared" ref="AE14" si="5">+AE11+AE13+AE12</f>
        <v>0</v>
      </c>
      <c r="AF14" s="1480">
        <f t="shared" si="0"/>
        <v>0</v>
      </c>
      <c r="AG14" s="1480">
        <f t="shared" si="0"/>
        <v>0</v>
      </c>
      <c r="AH14" s="1480">
        <f t="shared" si="0"/>
        <v>0</v>
      </c>
      <c r="AI14" s="1480">
        <f t="shared" si="0"/>
        <v>0</v>
      </c>
      <c r="AJ14" s="1480">
        <f t="shared" si="0"/>
        <v>0</v>
      </c>
      <c r="AK14" s="1480">
        <f t="shared" ref="AK14:AN14" si="6">+AK11+AK13+AK12</f>
        <v>0</v>
      </c>
      <c r="AL14" s="1480">
        <f t="shared" si="6"/>
        <v>0</v>
      </c>
      <c r="AM14" s="1480">
        <f t="shared" si="6"/>
        <v>0</v>
      </c>
      <c r="AN14" s="1480">
        <f t="shared" si="6"/>
        <v>0</v>
      </c>
      <c r="AO14" s="1480">
        <f t="shared" ref="AO14:AY14" si="7">+AO11+AO13+AO12</f>
        <v>0</v>
      </c>
      <c r="AP14" s="1480">
        <f t="shared" si="7"/>
        <v>0</v>
      </c>
      <c r="AQ14" s="873">
        <f t="shared" si="7"/>
        <v>0</v>
      </c>
      <c r="AR14" s="2088">
        <f t="shared" si="7"/>
        <v>0</v>
      </c>
      <c r="AS14" s="1480">
        <f t="shared" si="7"/>
        <v>0</v>
      </c>
      <c r="AT14" s="1480">
        <f t="shared" si="7"/>
        <v>0</v>
      </c>
      <c r="AU14" s="1481">
        <f t="shared" si="7"/>
        <v>0</v>
      </c>
      <c r="AV14" s="880">
        <f t="shared" si="7"/>
        <v>0</v>
      </c>
      <c r="AW14" s="1480">
        <f t="shared" si="7"/>
        <v>0</v>
      </c>
      <c r="AX14" s="1480">
        <f t="shared" si="7"/>
        <v>0</v>
      </c>
      <c r="AY14" s="1481">
        <f t="shared" si="7"/>
        <v>0</v>
      </c>
      <c r="AZ14" s="880">
        <f t="shared" si="0"/>
        <v>0</v>
      </c>
      <c r="BA14" s="1481">
        <f t="shared" si="0"/>
        <v>0</v>
      </c>
      <c r="BB14" s="2088">
        <f t="shared" si="0"/>
        <v>0</v>
      </c>
      <c r="BC14" s="880">
        <f t="shared" ref="BC14" si="8">+BC11+BC13+BC12</f>
        <v>0</v>
      </c>
      <c r="BD14" s="1480">
        <f t="shared" si="0"/>
        <v>0</v>
      </c>
      <c r="BE14" s="1480">
        <f t="shared" si="0"/>
        <v>0</v>
      </c>
      <c r="BF14" s="1480">
        <f t="shared" si="0"/>
        <v>0</v>
      </c>
      <c r="BG14" s="1480">
        <f t="shared" si="0"/>
        <v>0</v>
      </c>
      <c r="BH14" s="1480">
        <f t="shared" si="0"/>
        <v>0</v>
      </c>
      <c r="BI14" s="1480">
        <f t="shared" si="0"/>
        <v>0</v>
      </c>
      <c r="BJ14" s="1480">
        <f t="shared" si="0"/>
        <v>0</v>
      </c>
      <c r="BK14" s="1480">
        <f t="shared" si="0"/>
        <v>0</v>
      </c>
      <c r="BL14" s="1481">
        <f t="shared" si="0"/>
        <v>0</v>
      </c>
      <c r="BM14" s="1479">
        <f t="shared" si="0"/>
        <v>0</v>
      </c>
      <c r="BN14" s="881">
        <f t="shared" si="0"/>
        <v>0</v>
      </c>
      <c r="BO14" s="1479">
        <f t="shared" ref="BO14:BZ14" si="9">+BO11+BO13+BO12</f>
        <v>0</v>
      </c>
      <c r="BP14" s="1480">
        <f t="shared" si="9"/>
        <v>0</v>
      </c>
      <c r="BQ14" s="1480">
        <f t="shared" si="9"/>
        <v>0</v>
      </c>
      <c r="BR14" s="1480">
        <f t="shared" si="9"/>
        <v>0</v>
      </c>
      <c r="BS14" s="1480">
        <f t="shared" si="9"/>
        <v>0</v>
      </c>
      <c r="BT14" s="1480">
        <f t="shared" si="9"/>
        <v>0</v>
      </c>
      <c r="BU14" s="1480">
        <f t="shared" si="9"/>
        <v>0</v>
      </c>
      <c r="BV14" s="1480">
        <f t="shared" si="9"/>
        <v>0</v>
      </c>
      <c r="BW14" s="1480">
        <f t="shared" si="9"/>
        <v>0</v>
      </c>
      <c r="BX14" s="1481">
        <f t="shared" si="9"/>
        <v>0</v>
      </c>
      <c r="BY14" s="1479">
        <f t="shared" si="9"/>
        <v>0</v>
      </c>
      <c r="BZ14" s="881">
        <f t="shared" si="9"/>
        <v>0</v>
      </c>
      <c r="CA14" s="882">
        <f t="shared" si="0"/>
        <v>0</v>
      </c>
      <c r="CB14" s="1480">
        <f t="shared" si="0"/>
        <v>0</v>
      </c>
      <c r="CC14" s="1480">
        <f t="shared" si="0"/>
        <v>0</v>
      </c>
      <c r="CD14" s="1480">
        <f t="shared" ref="CD14" si="10">+CD11+CD13+CD12</f>
        <v>0</v>
      </c>
      <c r="CE14" s="1480">
        <f t="shared" si="0"/>
        <v>0</v>
      </c>
      <c r="CF14" s="1480">
        <f t="shared" ref="CF14:CG14" si="11">+CF11+CF13+CF12</f>
        <v>0</v>
      </c>
      <c r="CG14" s="1480">
        <f t="shared" si="11"/>
        <v>0</v>
      </c>
      <c r="CH14" s="881">
        <f t="shared" si="0"/>
        <v>0</v>
      </c>
      <c r="CI14" s="1479">
        <f t="shared" si="0"/>
        <v>0</v>
      </c>
      <c r="CJ14" s="881">
        <f t="shared" si="0"/>
        <v>0</v>
      </c>
      <c r="CK14" s="1479">
        <f t="shared" si="0"/>
        <v>0</v>
      </c>
      <c r="CL14" s="883">
        <f t="shared" ref="CL14" si="12">+CL11+CL13+CL12</f>
        <v>0</v>
      </c>
      <c r="CM14" s="1480">
        <f t="shared" si="0"/>
        <v>0</v>
      </c>
      <c r="CN14" s="1480">
        <f t="shared" ref="CN14" si="13">+CN11+CN13+CN12</f>
        <v>0</v>
      </c>
      <c r="CO14" s="1480">
        <f t="shared" si="0"/>
        <v>0</v>
      </c>
      <c r="CP14" s="1480">
        <f t="shared" ref="CP14" si="14">+CP11+CP13+CP12</f>
        <v>0</v>
      </c>
      <c r="CQ14" s="1480">
        <f t="shared" si="0"/>
        <v>0</v>
      </c>
      <c r="CR14" s="1480">
        <f t="shared" ref="CR14" si="15">+CR11+CR13+CR12</f>
        <v>0</v>
      </c>
      <c r="CS14" s="1480">
        <f t="shared" si="0"/>
        <v>0</v>
      </c>
      <c r="CT14" s="1480">
        <f t="shared" si="0"/>
        <v>0</v>
      </c>
      <c r="CU14" s="883">
        <f>+CU11+CU13+CU12</f>
        <v>0</v>
      </c>
      <c r="CV14" s="1479">
        <f t="shared" si="0"/>
        <v>0</v>
      </c>
      <c r="CW14" s="881">
        <f t="shared" si="0"/>
        <v>0</v>
      </c>
      <c r="CX14" s="882">
        <f t="shared" si="0"/>
        <v>0</v>
      </c>
      <c r="CY14" s="1480">
        <f t="shared" si="0"/>
        <v>0</v>
      </c>
      <c r="CZ14" s="1480">
        <f t="shared" si="0"/>
        <v>0</v>
      </c>
      <c r="DA14" s="1480">
        <f t="shared" si="0"/>
        <v>0</v>
      </c>
      <c r="DB14" s="881">
        <f t="shared" si="0"/>
        <v>0</v>
      </c>
      <c r="DC14" s="1479">
        <f t="shared" si="0"/>
        <v>0</v>
      </c>
      <c r="DD14" s="881">
        <f t="shared" si="0"/>
        <v>0</v>
      </c>
      <c r="DE14" s="328"/>
      <c r="DF14" s="328"/>
      <c r="DG14" s="328" t="s">
        <v>451</v>
      </c>
      <c r="DH14" s="328"/>
      <c r="DI14" s="328"/>
      <c r="DJ14" s="1304" t="s">
        <v>627</v>
      </c>
      <c r="DK14" s="1293"/>
      <c r="DL14" s="1417">
        <f>SUM(C104:D104)</f>
        <v>0</v>
      </c>
      <c r="DM14" s="1438" t="s">
        <v>627</v>
      </c>
      <c r="DN14" s="1293"/>
      <c r="DO14" s="1419">
        <f>SUM(X104:Z104)</f>
        <v>0</v>
      </c>
      <c r="DP14" s="1315" t="s">
        <v>627</v>
      </c>
      <c r="DQ14" s="1293"/>
      <c r="DR14" s="1420">
        <f>SUM(BB104:BL104)</f>
        <v>0</v>
      </c>
      <c r="DS14" s="3040" t="s">
        <v>628</v>
      </c>
      <c r="DT14" s="3041"/>
      <c r="DU14" s="1422"/>
      <c r="DV14" s="3042" t="s">
        <v>629</v>
      </c>
      <c r="DW14" s="3043"/>
      <c r="DX14" s="1424"/>
      <c r="DY14" s="3034" t="s">
        <v>630</v>
      </c>
      <c r="DZ14" s="3035"/>
      <c r="EA14" s="1426"/>
      <c r="EB14" s="1427" t="s">
        <v>627</v>
      </c>
      <c r="EC14" s="1293"/>
      <c r="ED14" s="1428">
        <f>SUM(BO104:BZ104)</f>
        <v>0</v>
      </c>
    </row>
    <row r="15" spans="1:134" ht="24" customHeight="1">
      <c r="A15" s="3029" t="str">
        <f>'lon undervisning'!A11</f>
        <v>Antal måneder ansat i 2027</v>
      </c>
      <c r="B15" s="3030"/>
      <c r="C15" s="2165"/>
      <c r="D15" s="2166"/>
      <c r="E15" s="2201"/>
      <c r="F15" s="2202"/>
      <c r="G15" s="1485"/>
      <c r="H15" s="1485"/>
      <c r="I15" s="1485"/>
      <c r="J15" s="1485"/>
      <c r="K15" s="1485"/>
      <c r="L15" s="1485"/>
      <c r="M15" s="1485"/>
      <c r="N15" s="1485"/>
      <c r="O15" s="1485"/>
      <c r="P15" s="1485"/>
      <c r="Q15" s="1485"/>
      <c r="R15" s="1485"/>
      <c r="S15" s="1485"/>
      <c r="T15" s="1485"/>
      <c r="U15" s="1483"/>
      <c r="V15" s="1482"/>
      <c r="W15" s="1485"/>
      <c r="X15" s="2221"/>
      <c r="Y15" s="2202"/>
      <c r="Z15" s="1486"/>
      <c r="AA15" s="1484"/>
      <c r="AB15" s="1485"/>
      <c r="AC15" s="1485"/>
      <c r="AD15" s="1485"/>
      <c r="AE15" s="1485"/>
      <c r="AF15" s="1485"/>
      <c r="AG15" s="1485"/>
      <c r="AH15" s="1485"/>
      <c r="AI15" s="1485"/>
      <c r="AJ15" s="1485"/>
      <c r="AK15" s="1485"/>
      <c r="AL15" s="1485"/>
      <c r="AM15" s="1485"/>
      <c r="AN15" s="1485"/>
      <c r="AO15" s="1485"/>
      <c r="AP15" s="1485"/>
      <c r="AQ15" s="2074"/>
      <c r="AR15" s="2221"/>
      <c r="AS15" s="2202"/>
      <c r="AT15" s="2202"/>
      <c r="AU15" s="2247"/>
      <c r="AV15" s="2201"/>
      <c r="AW15" s="2202"/>
      <c r="AX15" s="2202"/>
      <c r="AY15" s="2247"/>
      <c r="AZ15" s="1482"/>
      <c r="BA15" s="1483"/>
      <c r="BB15" s="2221"/>
      <c r="BC15" s="2201"/>
      <c r="BD15" s="1485"/>
      <c r="BE15" s="1485"/>
      <c r="BF15" s="1485"/>
      <c r="BG15" s="1485"/>
      <c r="BH15" s="1485"/>
      <c r="BI15" s="1485"/>
      <c r="BJ15" s="1485"/>
      <c r="BK15" s="1485"/>
      <c r="BL15" s="1483"/>
      <c r="BM15" s="1484"/>
      <c r="BN15" s="1483"/>
      <c r="BO15" s="1484"/>
      <c r="BP15" s="1485"/>
      <c r="BQ15" s="1485"/>
      <c r="BR15" s="1485"/>
      <c r="BS15" s="1485"/>
      <c r="BT15" s="1485"/>
      <c r="BU15" s="1485"/>
      <c r="BV15" s="1485"/>
      <c r="BW15" s="1485"/>
      <c r="BX15" s="1483"/>
      <c r="BY15" s="1484"/>
      <c r="BZ15" s="1483"/>
      <c r="CA15" s="1484"/>
      <c r="CB15" s="1485"/>
      <c r="CC15" s="1485"/>
      <c r="CD15" s="1485"/>
      <c r="CE15" s="1485"/>
      <c r="CF15" s="1485"/>
      <c r="CG15" s="1485"/>
      <c r="CH15" s="1483"/>
      <c r="CI15" s="1484"/>
      <c r="CJ15" s="1483"/>
      <c r="CK15" s="1484"/>
      <c r="CL15" s="1485"/>
      <c r="CM15" s="1485"/>
      <c r="CN15" s="1485"/>
      <c r="CO15" s="1485"/>
      <c r="CP15" s="1485"/>
      <c r="CQ15" s="1485"/>
      <c r="CR15" s="1485"/>
      <c r="CS15" s="1485"/>
      <c r="CT15" s="1485"/>
      <c r="CU15" s="1486"/>
      <c r="CV15" s="1484"/>
      <c r="CW15" s="1483"/>
      <c r="CX15" s="1484"/>
      <c r="CY15" s="1485"/>
      <c r="CZ15" s="1485"/>
      <c r="DA15" s="1485"/>
      <c r="DB15" s="1483"/>
      <c r="DC15" s="1484"/>
      <c r="DD15" s="1483"/>
      <c r="DE15" s="328"/>
      <c r="DF15" s="328"/>
      <c r="DG15" s="328"/>
      <c r="DH15" s="328"/>
      <c r="DI15" s="328"/>
      <c r="DJ15" s="1415" t="s">
        <v>617</v>
      </c>
      <c r="DK15" s="1416"/>
      <c r="DL15" s="1417">
        <f>SUM(E96:U96)</f>
        <v>0</v>
      </c>
      <c r="DM15" s="1418" t="s">
        <v>617</v>
      </c>
      <c r="DN15" s="1416"/>
      <c r="DO15" s="1419">
        <f>SUM(AA96:AY96)</f>
        <v>0</v>
      </c>
      <c r="DP15" s="3038" t="s">
        <v>631</v>
      </c>
      <c r="DQ15" s="3039"/>
      <c r="DR15" s="1420"/>
      <c r="DS15" s="1421" t="s">
        <v>490</v>
      </c>
      <c r="DT15" s="1293"/>
      <c r="DU15" s="1422">
        <f>SUM(CA105:CJ105)</f>
        <v>0</v>
      </c>
      <c r="DV15" s="1423" t="s">
        <v>490</v>
      </c>
      <c r="DW15" s="1293"/>
      <c r="DX15" s="1424">
        <f>SUM(CK105:CW105)</f>
        <v>0</v>
      </c>
      <c r="DY15" s="1425" t="s">
        <v>490</v>
      </c>
      <c r="DZ15" s="1293"/>
      <c r="EA15" s="1426">
        <f>SUM(CX105:DD105)</f>
        <v>0</v>
      </c>
      <c r="EB15" s="3044" t="s">
        <v>632</v>
      </c>
      <c r="EC15" s="3045"/>
      <c r="ED15" s="1428"/>
    </row>
    <row r="16" spans="1:134" ht="27" customHeight="1">
      <c r="A16" s="3027" t="s">
        <v>1537</v>
      </c>
      <c r="B16" s="3028"/>
      <c r="C16" s="2153" t="s">
        <v>449</v>
      </c>
      <c r="D16" s="2154" t="s">
        <v>449</v>
      </c>
      <c r="E16" s="2137" t="s">
        <v>449</v>
      </c>
      <c r="F16" s="2198" t="s">
        <v>449</v>
      </c>
      <c r="G16" s="1287" t="s">
        <v>449</v>
      </c>
      <c r="H16" s="1287" t="s">
        <v>449</v>
      </c>
      <c r="I16" s="1287" t="s">
        <v>449</v>
      </c>
      <c r="J16" s="1287" t="s">
        <v>449</v>
      </c>
      <c r="K16" s="1287" t="s">
        <v>449</v>
      </c>
      <c r="L16" s="1287" t="s">
        <v>449</v>
      </c>
      <c r="M16" s="1287" t="s">
        <v>449</v>
      </c>
      <c r="N16" s="1287" t="s">
        <v>449</v>
      </c>
      <c r="O16" s="1287" t="s">
        <v>449</v>
      </c>
      <c r="P16" s="1287" t="s">
        <v>449</v>
      </c>
      <c r="Q16" s="1287" t="s">
        <v>449</v>
      </c>
      <c r="R16" s="1287" t="s">
        <v>449</v>
      </c>
      <c r="S16" s="1287" t="s">
        <v>449</v>
      </c>
      <c r="T16" s="1287" t="s">
        <v>449</v>
      </c>
      <c r="U16" s="1431" t="s">
        <v>449</v>
      </c>
      <c r="V16" s="1430" t="s">
        <v>449</v>
      </c>
      <c r="W16" s="1431" t="s">
        <v>449</v>
      </c>
      <c r="X16" s="2222" t="s">
        <v>449</v>
      </c>
      <c r="Y16" s="2198" t="s">
        <v>449</v>
      </c>
      <c r="Z16" s="1436" t="s">
        <v>449</v>
      </c>
      <c r="AA16" s="1432" t="s">
        <v>449</v>
      </c>
      <c r="AB16" s="1287" t="s">
        <v>449</v>
      </c>
      <c r="AC16" s="1287" t="s">
        <v>449</v>
      </c>
      <c r="AD16" s="1287" t="s">
        <v>449</v>
      </c>
      <c r="AE16" s="1287" t="s">
        <v>449</v>
      </c>
      <c r="AF16" s="1287" t="s">
        <v>449</v>
      </c>
      <c r="AG16" s="1287" t="s">
        <v>449</v>
      </c>
      <c r="AH16" s="1287" t="s">
        <v>449</v>
      </c>
      <c r="AI16" s="1287" t="s">
        <v>449</v>
      </c>
      <c r="AJ16" s="1287" t="s">
        <v>449</v>
      </c>
      <c r="AK16" s="1287" t="s">
        <v>449</v>
      </c>
      <c r="AL16" s="1287" t="s">
        <v>449</v>
      </c>
      <c r="AM16" s="1287" t="s">
        <v>449</v>
      </c>
      <c r="AN16" s="1287" t="s">
        <v>449</v>
      </c>
      <c r="AO16" s="1287" t="s">
        <v>449</v>
      </c>
      <c r="AP16" s="1287" t="s">
        <v>449</v>
      </c>
      <c r="AQ16" s="2075" t="s">
        <v>449</v>
      </c>
      <c r="AR16" s="2222" t="s">
        <v>449</v>
      </c>
      <c r="AS16" s="2198" t="s">
        <v>449</v>
      </c>
      <c r="AT16" s="2198" t="s">
        <v>449</v>
      </c>
      <c r="AU16" s="2248" t="s">
        <v>449</v>
      </c>
      <c r="AV16" s="2137" t="s">
        <v>449</v>
      </c>
      <c r="AW16" s="2198" t="s">
        <v>449</v>
      </c>
      <c r="AX16" s="2198" t="s">
        <v>449</v>
      </c>
      <c r="AY16" s="2248" t="s">
        <v>449</v>
      </c>
      <c r="AZ16" s="1430" t="s">
        <v>449</v>
      </c>
      <c r="BA16" s="1431" t="s">
        <v>449</v>
      </c>
      <c r="BB16" s="2222" t="s">
        <v>449</v>
      </c>
      <c r="BC16" s="2137" t="s">
        <v>449</v>
      </c>
      <c r="BD16" s="1287" t="s">
        <v>449</v>
      </c>
      <c r="BE16" s="1287" t="s">
        <v>449</v>
      </c>
      <c r="BF16" s="1287" t="s">
        <v>449</v>
      </c>
      <c r="BG16" s="1287" t="s">
        <v>449</v>
      </c>
      <c r="BH16" s="1287" t="s">
        <v>449</v>
      </c>
      <c r="BI16" s="1287" t="s">
        <v>449</v>
      </c>
      <c r="BJ16" s="1287" t="s">
        <v>449</v>
      </c>
      <c r="BK16" s="1287" t="s">
        <v>449</v>
      </c>
      <c r="BL16" s="1431" t="s">
        <v>449</v>
      </c>
      <c r="BM16" s="1432" t="s">
        <v>449</v>
      </c>
      <c r="BN16" s="1431" t="s">
        <v>449</v>
      </c>
      <c r="BO16" s="1432" t="s">
        <v>449</v>
      </c>
      <c r="BP16" s="1287" t="s">
        <v>449</v>
      </c>
      <c r="BQ16" s="1287" t="s">
        <v>449</v>
      </c>
      <c r="BR16" s="1287" t="s">
        <v>449</v>
      </c>
      <c r="BS16" s="1287" t="s">
        <v>449</v>
      </c>
      <c r="BT16" s="1287" t="s">
        <v>449</v>
      </c>
      <c r="BU16" s="1287" t="s">
        <v>449</v>
      </c>
      <c r="BV16" s="1287" t="s">
        <v>449</v>
      </c>
      <c r="BW16" s="1287" t="s">
        <v>449</v>
      </c>
      <c r="BX16" s="1431" t="s">
        <v>449</v>
      </c>
      <c r="BY16" s="1408" t="s">
        <v>449</v>
      </c>
      <c r="BZ16" s="1407" t="s">
        <v>449</v>
      </c>
      <c r="CA16" s="1432" t="s">
        <v>449</v>
      </c>
      <c r="CB16" s="1287" t="s">
        <v>449</v>
      </c>
      <c r="CC16" s="1287" t="s">
        <v>449</v>
      </c>
      <c r="CD16" s="1287" t="s">
        <v>449</v>
      </c>
      <c r="CE16" s="1287" t="s">
        <v>449</v>
      </c>
      <c r="CF16" s="1287" t="s">
        <v>449</v>
      </c>
      <c r="CG16" s="1287" t="s">
        <v>449</v>
      </c>
      <c r="CH16" s="1431" t="s">
        <v>449</v>
      </c>
      <c r="CI16" s="1408" t="s">
        <v>449</v>
      </c>
      <c r="CJ16" s="1407" t="s">
        <v>449</v>
      </c>
      <c r="CK16" s="1432" t="s">
        <v>449</v>
      </c>
      <c r="CL16" s="1287" t="s">
        <v>449</v>
      </c>
      <c r="CM16" s="1287" t="s">
        <v>449</v>
      </c>
      <c r="CN16" s="1287" t="s">
        <v>449</v>
      </c>
      <c r="CO16" s="1287" t="s">
        <v>449</v>
      </c>
      <c r="CP16" s="1287" t="s">
        <v>449</v>
      </c>
      <c r="CQ16" s="1287" t="s">
        <v>449</v>
      </c>
      <c r="CR16" s="1287" t="s">
        <v>449</v>
      </c>
      <c r="CS16" s="1287" t="s">
        <v>449</v>
      </c>
      <c r="CT16" s="1287" t="s">
        <v>449</v>
      </c>
      <c r="CU16" s="1436" t="s">
        <v>449</v>
      </c>
      <c r="CV16" s="1408" t="s">
        <v>449</v>
      </c>
      <c r="CW16" s="1407" t="s">
        <v>449</v>
      </c>
      <c r="CX16" s="1432" t="s">
        <v>449</v>
      </c>
      <c r="CY16" s="1287" t="s">
        <v>449</v>
      </c>
      <c r="CZ16" s="1287" t="s">
        <v>449</v>
      </c>
      <c r="DA16" s="1287" t="s">
        <v>449</v>
      </c>
      <c r="DB16" s="1431" t="s">
        <v>449</v>
      </c>
      <c r="DC16" s="1408" t="s">
        <v>449</v>
      </c>
      <c r="DD16" s="1407" t="s">
        <v>449</v>
      </c>
      <c r="DE16" s="328" t="s">
        <v>633</v>
      </c>
      <c r="DF16" s="328"/>
      <c r="DG16" s="328"/>
      <c r="DH16" s="328"/>
      <c r="DI16" s="328"/>
      <c r="DJ16" s="1304" t="s">
        <v>481</v>
      </c>
      <c r="DK16" s="1293"/>
      <c r="DL16" s="1417">
        <f>SUM(E101:U101)</f>
        <v>0</v>
      </c>
      <c r="DM16" s="1438" t="s">
        <v>481</v>
      </c>
      <c r="DN16" s="1293"/>
      <c r="DO16" s="1419">
        <f>SUM(AA101:AY101)</f>
        <v>0</v>
      </c>
      <c r="DP16" s="1315" t="s">
        <v>490</v>
      </c>
      <c r="DQ16" s="1293"/>
      <c r="DR16" s="1420">
        <f>SUM(BB105:BN105)</f>
        <v>0</v>
      </c>
      <c r="DS16" s="1421" t="s">
        <v>491</v>
      </c>
      <c r="DT16" s="1293"/>
      <c r="DU16" s="1422">
        <f>SUM(CA107:CJ107)</f>
        <v>0</v>
      </c>
      <c r="DV16" s="1423" t="s">
        <v>491</v>
      </c>
      <c r="DW16" s="1293"/>
      <c r="DX16" s="1424">
        <f>SUM(CK107:CW107)</f>
        <v>0</v>
      </c>
      <c r="DY16" s="1425" t="s">
        <v>491</v>
      </c>
      <c r="DZ16" s="1293"/>
      <c r="EA16" s="1426">
        <f>SUM(CX107:DD107)</f>
        <v>0</v>
      </c>
      <c r="EB16" s="1427" t="s">
        <v>490</v>
      </c>
      <c r="EC16" s="1293"/>
      <c r="ED16" s="1428">
        <f>SUM(BO105:BZ105)</f>
        <v>0</v>
      </c>
    </row>
    <row r="17" spans="1:141" ht="27" customHeight="1">
      <c r="A17" s="3027" t="s">
        <v>1538</v>
      </c>
      <c r="B17" s="3028"/>
      <c r="C17" s="2153" t="s">
        <v>449</v>
      </c>
      <c r="D17" s="2154" t="s">
        <v>449</v>
      </c>
      <c r="E17" s="2137" t="s">
        <v>449</v>
      </c>
      <c r="F17" s="2198" t="s">
        <v>449</v>
      </c>
      <c r="G17" s="1287" t="s">
        <v>449</v>
      </c>
      <c r="H17" s="1287" t="s">
        <v>449</v>
      </c>
      <c r="I17" s="1287" t="s">
        <v>449</v>
      </c>
      <c r="J17" s="1287" t="s">
        <v>449</v>
      </c>
      <c r="K17" s="1287" t="s">
        <v>449</v>
      </c>
      <c r="L17" s="1287" t="s">
        <v>449</v>
      </c>
      <c r="M17" s="1287" t="s">
        <v>449</v>
      </c>
      <c r="N17" s="1287" t="s">
        <v>449</v>
      </c>
      <c r="O17" s="1287" t="s">
        <v>449</v>
      </c>
      <c r="P17" s="1287" t="s">
        <v>449</v>
      </c>
      <c r="Q17" s="1287" t="s">
        <v>449</v>
      </c>
      <c r="R17" s="1287" t="s">
        <v>449</v>
      </c>
      <c r="S17" s="1287" t="s">
        <v>449</v>
      </c>
      <c r="T17" s="1287" t="s">
        <v>449</v>
      </c>
      <c r="U17" s="1431" t="s">
        <v>449</v>
      </c>
      <c r="V17" s="1430" t="s">
        <v>449</v>
      </c>
      <c r="W17" s="1431" t="s">
        <v>449</v>
      </c>
      <c r="X17" s="2222" t="s">
        <v>449</v>
      </c>
      <c r="Y17" s="2198" t="s">
        <v>449</v>
      </c>
      <c r="Z17" s="1436" t="s">
        <v>449</v>
      </c>
      <c r="AA17" s="1432" t="s">
        <v>449</v>
      </c>
      <c r="AB17" s="1287" t="s">
        <v>449</v>
      </c>
      <c r="AC17" s="1287" t="s">
        <v>449</v>
      </c>
      <c r="AD17" s="1287" t="s">
        <v>449</v>
      </c>
      <c r="AE17" s="1287" t="s">
        <v>449</v>
      </c>
      <c r="AF17" s="1287" t="s">
        <v>449</v>
      </c>
      <c r="AG17" s="1287" t="s">
        <v>449</v>
      </c>
      <c r="AH17" s="1287" t="s">
        <v>449</v>
      </c>
      <c r="AI17" s="1287" t="s">
        <v>449</v>
      </c>
      <c r="AJ17" s="1287" t="s">
        <v>449</v>
      </c>
      <c r="AK17" s="1287" t="s">
        <v>449</v>
      </c>
      <c r="AL17" s="1287" t="s">
        <v>449</v>
      </c>
      <c r="AM17" s="1287" t="s">
        <v>449</v>
      </c>
      <c r="AN17" s="1287" t="s">
        <v>449</v>
      </c>
      <c r="AO17" s="1287" t="s">
        <v>449</v>
      </c>
      <c r="AP17" s="1287" t="s">
        <v>449</v>
      </c>
      <c r="AQ17" s="2075" t="s">
        <v>449</v>
      </c>
      <c r="AR17" s="2222" t="s">
        <v>449</v>
      </c>
      <c r="AS17" s="2198" t="s">
        <v>449</v>
      </c>
      <c r="AT17" s="2198" t="s">
        <v>449</v>
      </c>
      <c r="AU17" s="2248" t="s">
        <v>449</v>
      </c>
      <c r="AV17" s="2137" t="s">
        <v>449</v>
      </c>
      <c r="AW17" s="2198" t="s">
        <v>449</v>
      </c>
      <c r="AX17" s="2198" t="s">
        <v>449</v>
      </c>
      <c r="AY17" s="2248" t="s">
        <v>449</v>
      </c>
      <c r="AZ17" s="1430" t="s">
        <v>449</v>
      </c>
      <c r="BA17" s="1431" t="s">
        <v>449</v>
      </c>
      <c r="BB17" s="2222" t="s">
        <v>449</v>
      </c>
      <c r="BC17" s="2137" t="s">
        <v>449</v>
      </c>
      <c r="BD17" s="1287" t="s">
        <v>449</v>
      </c>
      <c r="BE17" s="1287" t="s">
        <v>449</v>
      </c>
      <c r="BF17" s="1287" t="s">
        <v>449</v>
      </c>
      <c r="BG17" s="1287" t="s">
        <v>449</v>
      </c>
      <c r="BH17" s="1287" t="s">
        <v>449</v>
      </c>
      <c r="BI17" s="1287" t="s">
        <v>449</v>
      </c>
      <c r="BJ17" s="1287" t="s">
        <v>449</v>
      </c>
      <c r="BK17" s="1287" t="s">
        <v>449</v>
      </c>
      <c r="BL17" s="1431" t="s">
        <v>449</v>
      </c>
      <c r="BM17" s="1432" t="s">
        <v>449</v>
      </c>
      <c r="BN17" s="1431" t="s">
        <v>449</v>
      </c>
      <c r="BO17" s="1432" t="s">
        <v>449</v>
      </c>
      <c r="BP17" s="1287" t="s">
        <v>449</v>
      </c>
      <c r="BQ17" s="1287" t="s">
        <v>449</v>
      </c>
      <c r="BR17" s="1287" t="s">
        <v>449</v>
      </c>
      <c r="BS17" s="1287" t="s">
        <v>449</v>
      </c>
      <c r="BT17" s="1287" t="s">
        <v>449</v>
      </c>
      <c r="BU17" s="1287" t="s">
        <v>449</v>
      </c>
      <c r="BV17" s="1287" t="s">
        <v>449</v>
      </c>
      <c r="BW17" s="1287" t="s">
        <v>449</v>
      </c>
      <c r="BX17" s="1431" t="s">
        <v>449</v>
      </c>
      <c r="BY17" s="1432" t="s">
        <v>449</v>
      </c>
      <c r="BZ17" s="1431" t="s">
        <v>449</v>
      </c>
      <c r="CA17" s="1432" t="s">
        <v>449</v>
      </c>
      <c r="CB17" s="1287" t="s">
        <v>449</v>
      </c>
      <c r="CC17" s="1287" t="s">
        <v>449</v>
      </c>
      <c r="CD17" s="1287" t="s">
        <v>449</v>
      </c>
      <c r="CE17" s="1287" t="s">
        <v>449</v>
      </c>
      <c r="CF17" s="1287" t="s">
        <v>449</v>
      </c>
      <c r="CG17" s="1287" t="s">
        <v>449</v>
      </c>
      <c r="CH17" s="1431" t="s">
        <v>449</v>
      </c>
      <c r="CI17" s="1432" t="s">
        <v>449</v>
      </c>
      <c r="CJ17" s="1431" t="s">
        <v>449</v>
      </c>
      <c r="CK17" s="1432" t="s">
        <v>449</v>
      </c>
      <c r="CL17" s="1287" t="s">
        <v>449</v>
      </c>
      <c r="CM17" s="1287" t="s">
        <v>449</v>
      </c>
      <c r="CN17" s="1287" t="s">
        <v>449</v>
      </c>
      <c r="CO17" s="1287" t="s">
        <v>449</v>
      </c>
      <c r="CP17" s="1287" t="s">
        <v>449</v>
      </c>
      <c r="CQ17" s="1287" t="s">
        <v>449</v>
      </c>
      <c r="CR17" s="1287" t="s">
        <v>449</v>
      </c>
      <c r="CS17" s="1287" t="s">
        <v>449</v>
      </c>
      <c r="CT17" s="1287" t="s">
        <v>449</v>
      </c>
      <c r="CU17" s="1436" t="s">
        <v>449</v>
      </c>
      <c r="CV17" s="1432" t="s">
        <v>449</v>
      </c>
      <c r="CW17" s="1431" t="s">
        <v>449</v>
      </c>
      <c r="CX17" s="1432" t="s">
        <v>449</v>
      </c>
      <c r="CY17" s="1287" t="s">
        <v>449</v>
      </c>
      <c r="CZ17" s="1287" t="s">
        <v>449</v>
      </c>
      <c r="DA17" s="1287" t="s">
        <v>449</v>
      </c>
      <c r="DB17" s="1431" t="s">
        <v>453</v>
      </c>
      <c r="DC17" s="1432" t="s">
        <v>449</v>
      </c>
      <c r="DD17" s="1431" t="s">
        <v>449</v>
      </c>
      <c r="DE17" s="328"/>
      <c r="DF17" s="328"/>
      <c r="DG17" s="328"/>
      <c r="DH17" s="328"/>
      <c r="DI17" s="328"/>
      <c r="DJ17" s="1304" t="s">
        <v>621</v>
      </c>
      <c r="DK17" s="1293"/>
      <c r="DL17" s="1417">
        <f>SUM(C112:U112)</f>
        <v>0</v>
      </c>
      <c r="DM17" s="1438" t="str">
        <f>DJ17</f>
        <v>Trepart</v>
      </c>
      <c r="DN17" s="1293"/>
      <c r="DO17" s="1419">
        <f>SUM(X112:AY112)</f>
        <v>0</v>
      </c>
      <c r="DP17" s="1315" t="s">
        <v>491</v>
      </c>
      <c r="DQ17" s="1293"/>
      <c r="DR17" s="1420">
        <f>SUM(BB107:BN107)</f>
        <v>0</v>
      </c>
      <c r="DS17" s="1421" t="str">
        <f>DP18</f>
        <v>Diæter</v>
      </c>
      <c r="DT17" s="1293"/>
      <c r="DU17" s="1422">
        <f>SUM(CA109:CJ109)</f>
        <v>0</v>
      </c>
      <c r="DV17" s="1423" t="str">
        <f>DS17</f>
        <v>Diæter</v>
      </c>
      <c r="DW17" s="1293"/>
      <c r="DX17" s="1424">
        <f>SUM(CK109:CW109)</f>
        <v>0</v>
      </c>
      <c r="DY17" s="1425" t="str">
        <f>DV17</f>
        <v>Diæter</v>
      </c>
      <c r="DZ17" s="1293"/>
      <c r="EA17" s="1426">
        <f>SUM(CX109:DD109)</f>
        <v>0</v>
      </c>
      <c r="EB17" s="1427" t="s">
        <v>491</v>
      </c>
      <c r="EC17" s="1293"/>
      <c r="ED17" s="1428">
        <f>SUM(BO107:BZ107)</f>
        <v>0</v>
      </c>
    </row>
    <row r="18" spans="1:141" ht="27" customHeight="1">
      <c r="A18" s="3051" t="str">
        <f>"SENIORBONUS. Er den ansatte omfattet af seniorbonusordningen og er eller fylder den ansatte 62 år i "&amp;budgetår&amp;" (Vælg: Ja) BEMÆRK SENIORBONUS ER IKKE AFTALT I BUPL/FOA OVERENSKOMST"</f>
        <v>SENIORBONUS. Er den ansatte omfattet af seniorbonusordningen og er eller fylder den ansatte 62 år i 2026 (Vælg: Ja) BEMÆRK SENIORBONUS ER IKKE AFTALT I BUPL/FOA OVERENSKOMST</v>
      </c>
      <c r="B18" s="2982"/>
      <c r="C18" s="2167" t="s">
        <v>449</v>
      </c>
      <c r="D18" s="2168" t="s">
        <v>449</v>
      </c>
      <c r="E18" s="2138" t="s">
        <v>449</v>
      </c>
      <c r="F18" s="2203" t="s">
        <v>449</v>
      </c>
      <c r="G18" s="1487" t="s">
        <v>449</v>
      </c>
      <c r="H18" s="1487" t="s">
        <v>449</v>
      </c>
      <c r="I18" s="1487" t="s">
        <v>449</v>
      </c>
      <c r="J18" s="1487" t="s">
        <v>449</v>
      </c>
      <c r="K18" s="1487" t="s">
        <v>449</v>
      </c>
      <c r="L18" s="1487" t="s">
        <v>449</v>
      </c>
      <c r="M18" s="1487" t="s">
        <v>449</v>
      </c>
      <c r="N18" s="1487" t="s">
        <v>449</v>
      </c>
      <c r="O18" s="1487" t="s">
        <v>449</v>
      </c>
      <c r="P18" s="1487" t="s">
        <v>449</v>
      </c>
      <c r="Q18" s="1487" t="s">
        <v>449</v>
      </c>
      <c r="R18" s="1487" t="s">
        <v>449</v>
      </c>
      <c r="S18" s="1487" t="s">
        <v>449</v>
      </c>
      <c r="T18" s="1487" t="s">
        <v>449</v>
      </c>
      <c r="U18" s="1488" t="s">
        <v>449</v>
      </c>
      <c r="V18" s="1490"/>
      <c r="W18" s="1491"/>
      <c r="X18" s="2223" t="s">
        <v>449</v>
      </c>
      <c r="Y18" s="2203" t="s">
        <v>449</v>
      </c>
      <c r="Z18" s="1492" t="s">
        <v>449</v>
      </c>
      <c r="AA18" s="1489" t="s">
        <v>449</v>
      </c>
      <c r="AB18" s="1487" t="s">
        <v>449</v>
      </c>
      <c r="AC18" s="1487" t="s">
        <v>449</v>
      </c>
      <c r="AD18" s="1487" t="s">
        <v>449</v>
      </c>
      <c r="AE18" s="1487" t="s">
        <v>449</v>
      </c>
      <c r="AF18" s="1487" t="s">
        <v>449</v>
      </c>
      <c r="AG18" s="1487" t="s">
        <v>449</v>
      </c>
      <c r="AH18" s="1487" t="s">
        <v>449</v>
      </c>
      <c r="AI18" s="1487" t="s">
        <v>449</v>
      </c>
      <c r="AJ18" s="1487" t="s">
        <v>449</v>
      </c>
      <c r="AK18" s="1487" t="s">
        <v>449</v>
      </c>
      <c r="AL18" s="1487" t="s">
        <v>449</v>
      </c>
      <c r="AM18" s="1487" t="s">
        <v>449</v>
      </c>
      <c r="AN18" s="1487" t="s">
        <v>449</v>
      </c>
      <c r="AO18" s="1487" t="s">
        <v>449</v>
      </c>
      <c r="AP18" s="1487" t="s">
        <v>449</v>
      </c>
      <c r="AQ18" s="1492" t="s">
        <v>449</v>
      </c>
      <c r="AR18" s="2223" t="s">
        <v>449</v>
      </c>
      <c r="AS18" s="2203" t="s">
        <v>449</v>
      </c>
      <c r="AT18" s="2203" t="s">
        <v>449</v>
      </c>
      <c r="AU18" s="2249" t="s">
        <v>449</v>
      </c>
      <c r="AV18" s="2138" t="s">
        <v>449</v>
      </c>
      <c r="AW18" s="2203" t="s">
        <v>449</v>
      </c>
      <c r="AX18" s="2203" t="s">
        <v>449</v>
      </c>
      <c r="AY18" s="2249" t="s">
        <v>449</v>
      </c>
      <c r="AZ18" s="1493"/>
      <c r="BA18" s="1494"/>
      <c r="BB18" s="2223" t="s">
        <v>449</v>
      </c>
      <c r="BC18" s="2138" t="s">
        <v>449</v>
      </c>
      <c r="BD18" s="1487" t="s">
        <v>449</v>
      </c>
      <c r="BE18" s="1487" t="s">
        <v>449</v>
      </c>
      <c r="BF18" s="1487" t="s">
        <v>449</v>
      </c>
      <c r="BG18" s="1487" t="s">
        <v>449</v>
      </c>
      <c r="BH18" s="1487" t="s">
        <v>449</v>
      </c>
      <c r="BI18" s="1487" t="s">
        <v>449</v>
      </c>
      <c r="BJ18" s="1487" t="s">
        <v>449</v>
      </c>
      <c r="BK18" s="1487" t="s">
        <v>449</v>
      </c>
      <c r="BL18" s="1488" t="s">
        <v>449</v>
      </c>
      <c r="BM18" s="1495"/>
      <c r="BN18" s="1494"/>
      <c r="BO18" s="1489" t="s">
        <v>449</v>
      </c>
      <c r="BP18" s="1487" t="s">
        <v>449</v>
      </c>
      <c r="BQ18" s="1487" t="s">
        <v>449</v>
      </c>
      <c r="BR18" s="1487" t="s">
        <v>449</v>
      </c>
      <c r="BS18" s="1487" t="s">
        <v>449</v>
      </c>
      <c r="BT18" s="1487" t="s">
        <v>449</v>
      </c>
      <c r="BU18" s="1487" t="s">
        <v>449</v>
      </c>
      <c r="BV18" s="1487" t="s">
        <v>449</v>
      </c>
      <c r="BW18" s="1487" t="s">
        <v>449</v>
      </c>
      <c r="BX18" s="1488" t="s">
        <v>449</v>
      </c>
      <c r="BY18" s="1495"/>
      <c r="BZ18" s="1494"/>
      <c r="CA18" s="1487" t="s">
        <v>449</v>
      </c>
      <c r="CB18" s="1487" t="s">
        <v>449</v>
      </c>
      <c r="CC18" s="1487" t="s">
        <v>449</v>
      </c>
      <c r="CD18" s="1487" t="s">
        <v>449</v>
      </c>
      <c r="CE18" s="1487" t="s">
        <v>449</v>
      </c>
      <c r="CF18" s="1487" t="s">
        <v>449</v>
      </c>
      <c r="CG18" s="1487" t="s">
        <v>449</v>
      </c>
      <c r="CH18" s="1487" t="s">
        <v>449</v>
      </c>
      <c r="CI18" s="1495"/>
      <c r="CJ18" s="1494"/>
      <c r="CK18" s="1487" t="s">
        <v>449</v>
      </c>
      <c r="CL18" s="1487" t="s">
        <v>449</v>
      </c>
      <c r="CM18" s="1487" t="s">
        <v>449</v>
      </c>
      <c r="CN18" s="1487" t="s">
        <v>449</v>
      </c>
      <c r="CO18" s="1487" t="s">
        <v>449</v>
      </c>
      <c r="CP18" s="1487" t="s">
        <v>449</v>
      </c>
      <c r="CQ18" s="1487" t="s">
        <v>449</v>
      </c>
      <c r="CR18" s="1487" t="s">
        <v>449</v>
      </c>
      <c r="CS18" s="1487" t="s">
        <v>449</v>
      </c>
      <c r="CT18" s="1487" t="s">
        <v>449</v>
      </c>
      <c r="CU18" s="1487" t="s">
        <v>449</v>
      </c>
      <c r="CV18" s="1495"/>
      <c r="CW18" s="1494"/>
      <c r="CX18" s="1487" t="s">
        <v>449</v>
      </c>
      <c r="CY18" s="1487" t="s">
        <v>449</v>
      </c>
      <c r="CZ18" s="1487" t="s">
        <v>449</v>
      </c>
      <c r="DA18" s="1487" t="s">
        <v>449</v>
      </c>
      <c r="DB18" s="1487" t="s">
        <v>449</v>
      </c>
      <c r="DC18" s="1495"/>
      <c r="DD18" s="1494"/>
      <c r="DJ18" s="1304" t="s">
        <v>561</v>
      </c>
      <c r="DK18" s="1293"/>
      <c r="DL18" s="1417">
        <f>SUM(E102:U102)</f>
        <v>0</v>
      </c>
      <c r="DM18" s="1438" t="s">
        <v>561</v>
      </c>
      <c r="DN18" s="1293"/>
      <c r="DO18" s="1419">
        <f>SUM(AA102:AY102)</f>
        <v>0</v>
      </c>
      <c r="DP18" s="1315" t="s">
        <v>565</v>
      </c>
      <c r="DQ18" s="1293"/>
      <c r="DR18" s="1420">
        <f>SUM(BB109:BN109)</f>
        <v>0</v>
      </c>
      <c r="DS18" s="1421" t="s">
        <v>67</v>
      </c>
      <c r="DT18" s="1293"/>
      <c r="DU18" s="1422">
        <f>SUM(CA108:CJ108)</f>
        <v>0</v>
      </c>
      <c r="DV18" s="1423" t="s">
        <v>67</v>
      </c>
      <c r="DW18" s="1293"/>
      <c r="DX18" s="1424">
        <f>SUM(CK108:CW108)</f>
        <v>0</v>
      </c>
      <c r="DY18" s="1425" t="s">
        <v>67</v>
      </c>
      <c r="DZ18" s="1293"/>
      <c r="EA18" s="1426">
        <f>SUM(CX108:DD108)</f>
        <v>0</v>
      </c>
      <c r="EB18" s="1427" t="str">
        <f>DY17</f>
        <v>Diæter</v>
      </c>
      <c r="EC18" s="1293"/>
      <c r="ED18" s="1428">
        <f>SUM(BO109:BZ109)</f>
        <v>0</v>
      </c>
    </row>
    <row r="19" spans="1:141" ht="27" customHeight="1">
      <c r="A19" s="3051" t="str">
        <f>"SENIORBONUS. Er den ansatte omfattet af seniorbonusordningen og er eller fylder den ansatte 62 år i "&amp;budgetår+1&amp;" (Vælg: Ja) BEMÆRK SENIORBONUS ER IKKE AFTALT I BUPL/FOA OVERENSKOMST"</f>
        <v>SENIORBONUS. Er den ansatte omfattet af seniorbonusordningen og er eller fylder den ansatte 62 år i 2027 (Vælg: Ja) BEMÆRK SENIORBONUS ER IKKE AFTALT I BUPL/FOA OVERENSKOMST</v>
      </c>
      <c r="B19" s="2982"/>
      <c r="C19" s="2167" t="s">
        <v>449</v>
      </c>
      <c r="D19" s="2168" t="s">
        <v>449</v>
      </c>
      <c r="E19" s="2138" t="s">
        <v>449</v>
      </c>
      <c r="F19" s="2203" t="s">
        <v>449</v>
      </c>
      <c r="G19" s="1487" t="s">
        <v>449</v>
      </c>
      <c r="H19" s="1487" t="s">
        <v>449</v>
      </c>
      <c r="I19" s="1487" t="s">
        <v>449</v>
      </c>
      <c r="J19" s="1487" t="s">
        <v>449</v>
      </c>
      <c r="K19" s="1487" t="s">
        <v>449</v>
      </c>
      <c r="L19" s="1487" t="s">
        <v>449</v>
      </c>
      <c r="M19" s="1487" t="s">
        <v>449</v>
      </c>
      <c r="N19" s="1487" t="s">
        <v>449</v>
      </c>
      <c r="O19" s="1487" t="s">
        <v>449</v>
      </c>
      <c r="P19" s="1487" t="s">
        <v>449</v>
      </c>
      <c r="Q19" s="1487" t="s">
        <v>449</v>
      </c>
      <c r="R19" s="1487" t="s">
        <v>449</v>
      </c>
      <c r="S19" s="1487" t="s">
        <v>449</v>
      </c>
      <c r="T19" s="1487" t="s">
        <v>449</v>
      </c>
      <c r="U19" s="1488" t="s">
        <v>449</v>
      </c>
      <c r="V19" s="1493"/>
      <c r="W19" s="1494"/>
      <c r="X19" s="2223" t="s">
        <v>449</v>
      </c>
      <c r="Y19" s="2203" t="s">
        <v>449</v>
      </c>
      <c r="Z19" s="1492" t="s">
        <v>449</v>
      </c>
      <c r="AA19" s="1489" t="s">
        <v>449</v>
      </c>
      <c r="AB19" s="1487" t="s">
        <v>449</v>
      </c>
      <c r="AC19" s="1487" t="s">
        <v>449</v>
      </c>
      <c r="AD19" s="1487" t="s">
        <v>449</v>
      </c>
      <c r="AE19" s="1487" t="s">
        <v>449</v>
      </c>
      <c r="AF19" s="1487" t="s">
        <v>449</v>
      </c>
      <c r="AG19" s="1487" t="s">
        <v>449</v>
      </c>
      <c r="AH19" s="1487" t="s">
        <v>449</v>
      </c>
      <c r="AI19" s="1487" t="s">
        <v>449</v>
      </c>
      <c r="AJ19" s="1487" t="s">
        <v>449</v>
      </c>
      <c r="AK19" s="1487" t="s">
        <v>449</v>
      </c>
      <c r="AL19" s="1487" t="s">
        <v>449</v>
      </c>
      <c r="AM19" s="1487" t="s">
        <v>449</v>
      </c>
      <c r="AN19" s="1487" t="s">
        <v>449</v>
      </c>
      <c r="AO19" s="1487" t="s">
        <v>449</v>
      </c>
      <c r="AP19" s="1487" t="s">
        <v>449</v>
      </c>
      <c r="AQ19" s="1492" t="s">
        <v>449</v>
      </c>
      <c r="AR19" s="2223" t="s">
        <v>449</v>
      </c>
      <c r="AS19" s="2203" t="s">
        <v>449</v>
      </c>
      <c r="AT19" s="2203" t="s">
        <v>449</v>
      </c>
      <c r="AU19" s="2249" t="s">
        <v>449</v>
      </c>
      <c r="AV19" s="2138" t="s">
        <v>449</v>
      </c>
      <c r="AW19" s="2203" t="s">
        <v>449</v>
      </c>
      <c r="AX19" s="2203" t="s">
        <v>449</v>
      </c>
      <c r="AY19" s="2249" t="s">
        <v>449</v>
      </c>
      <c r="AZ19" s="1493"/>
      <c r="BA19" s="1494"/>
      <c r="BB19" s="2223" t="s">
        <v>449</v>
      </c>
      <c r="BC19" s="2138" t="s">
        <v>449</v>
      </c>
      <c r="BD19" s="1487" t="s">
        <v>449</v>
      </c>
      <c r="BE19" s="1487" t="s">
        <v>449</v>
      </c>
      <c r="BF19" s="1487" t="s">
        <v>449</v>
      </c>
      <c r="BG19" s="1487" t="s">
        <v>449</v>
      </c>
      <c r="BH19" s="1487" t="s">
        <v>449</v>
      </c>
      <c r="BI19" s="1487" t="s">
        <v>449</v>
      </c>
      <c r="BJ19" s="1487" t="s">
        <v>449</v>
      </c>
      <c r="BK19" s="1487" t="s">
        <v>449</v>
      </c>
      <c r="BL19" s="1488" t="s">
        <v>449</v>
      </c>
      <c r="BM19" s="1495"/>
      <c r="BN19" s="1494"/>
      <c r="BO19" s="1489" t="s">
        <v>449</v>
      </c>
      <c r="BP19" s="1487" t="s">
        <v>449</v>
      </c>
      <c r="BQ19" s="1487" t="s">
        <v>449</v>
      </c>
      <c r="BR19" s="1487" t="s">
        <v>449</v>
      </c>
      <c r="BS19" s="1487" t="s">
        <v>449</v>
      </c>
      <c r="BT19" s="1487" t="s">
        <v>449</v>
      </c>
      <c r="BU19" s="1487" t="s">
        <v>449</v>
      </c>
      <c r="BV19" s="1487" t="s">
        <v>449</v>
      </c>
      <c r="BW19" s="1487" t="s">
        <v>449</v>
      </c>
      <c r="BX19" s="1488" t="s">
        <v>449</v>
      </c>
      <c r="BY19" s="1495"/>
      <c r="BZ19" s="1494"/>
      <c r="CA19" s="1487" t="s">
        <v>449</v>
      </c>
      <c r="CB19" s="1487" t="s">
        <v>449</v>
      </c>
      <c r="CC19" s="1487" t="s">
        <v>449</v>
      </c>
      <c r="CD19" s="1487" t="s">
        <v>449</v>
      </c>
      <c r="CE19" s="1487" t="s">
        <v>449</v>
      </c>
      <c r="CF19" s="1487" t="s">
        <v>449</v>
      </c>
      <c r="CG19" s="1487" t="s">
        <v>449</v>
      </c>
      <c r="CH19" s="1487" t="s">
        <v>449</v>
      </c>
      <c r="CI19" s="1495"/>
      <c r="CJ19" s="1494"/>
      <c r="CK19" s="1487" t="s">
        <v>449</v>
      </c>
      <c r="CL19" s="1487" t="s">
        <v>449</v>
      </c>
      <c r="CM19" s="1487" t="s">
        <v>449</v>
      </c>
      <c r="CN19" s="1487" t="s">
        <v>449</v>
      </c>
      <c r="CO19" s="1487" t="s">
        <v>449</v>
      </c>
      <c r="CP19" s="1487" t="s">
        <v>449</v>
      </c>
      <c r="CQ19" s="1487" t="s">
        <v>449</v>
      </c>
      <c r="CR19" s="1487" t="s">
        <v>449</v>
      </c>
      <c r="CS19" s="1487" t="s">
        <v>449</v>
      </c>
      <c r="CT19" s="1487" t="s">
        <v>449</v>
      </c>
      <c r="CU19" s="1487" t="s">
        <v>449</v>
      </c>
      <c r="CV19" s="1495"/>
      <c r="CW19" s="1494"/>
      <c r="CX19" s="1487" t="s">
        <v>449</v>
      </c>
      <c r="CY19" s="1487" t="s">
        <v>449</v>
      </c>
      <c r="CZ19" s="1487" t="s">
        <v>449</v>
      </c>
      <c r="DA19" s="1487" t="s">
        <v>449</v>
      </c>
      <c r="DB19" s="1487" t="s">
        <v>449</v>
      </c>
      <c r="DC19" s="1495"/>
      <c r="DD19" s="1494"/>
      <c r="DJ19" s="1304" t="s">
        <v>624</v>
      </c>
      <c r="DK19" s="1293"/>
      <c r="DL19" s="1417">
        <f>SUM(E103:U103)</f>
        <v>0</v>
      </c>
      <c r="DM19" s="1438" t="s">
        <v>624</v>
      </c>
      <c r="DN19" s="1293"/>
      <c r="DO19" s="1419">
        <f>SUM(AA103:AY103)</f>
        <v>0</v>
      </c>
      <c r="DP19" s="1315" t="s">
        <v>67</v>
      </c>
      <c r="DQ19" s="1293"/>
      <c r="DR19" s="1420">
        <f>SUM(BB108:BN108)</f>
        <v>0</v>
      </c>
      <c r="DS19" s="1421" t="s">
        <v>503</v>
      </c>
      <c r="DT19" s="1293"/>
      <c r="DU19" s="1422">
        <f>SUM(CA110:CJ110)</f>
        <v>0</v>
      </c>
      <c r="DV19" s="1423" t="s">
        <v>503</v>
      </c>
      <c r="DW19" s="1293"/>
      <c r="DX19" s="1424">
        <f>SUM(CK110:CW110)</f>
        <v>0</v>
      </c>
      <c r="DY19" s="1425" t="s">
        <v>503</v>
      </c>
      <c r="DZ19" s="1293"/>
      <c r="EA19" s="1426">
        <f>SUM(CX110:DD110)</f>
        <v>0</v>
      </c>
      <c r="EB19" s="1427" t="s">
        <v>67</v>
      </c>
      <c r="EC19" s="1293"/>
      <c r="ED19" s="1428">
        <f>SUM(BO108:BZ108)</f>
        <v>0</v>
      </c>
    </row>
    <row r="20" spans="1:141" ht="24" customHeight="1">
      <c r="A20" s="3062" t="s">
        <v>634</v>
      </c>
      <c r="B20" s="3030"/>
      <c r="C20" s="2153"/>
      <c r="D20" s="2154"/>
      <c r="E20" s="2137">
        <v>14.7</v>
      </c>
      <c r="F20" s="2198"/>
      <c r="G20" s="1287"/>
      <c r="H20" s="1287"/>
      <c r="I20" s="1287"/>
      <c r="J20" s="1287"/>
      <c r="K20" s="1287"/>
      <c r="L20" s="1287"/>
      <c r="M20" s="1287"/>
      <c r="N20" s="1287"/>
      <c r="O20" s="1287"/>
      <c r="P20" s="1287"/>
      <c r="Q20" s="1287"/>
      <c r="R20" s="1287"/>
      <c r="S20" s="1287"/>
      <c r="T20" s="1287"/>
      <c r="U20" s="1431"/>
      <c r="V20" s="1430"/>
      <c r="W20" s="1431"/>
      <c r="X20" s="2222"/>
      <c r="Y20" s="2198"/>
      <c r="Z20" s="1436"/>
      <c r="AA20" s="1432"/>
      <c r="AB20" s="1287"/>
      <c r="AC20" s="1287"/>
      <c r="AD20" s="1287"/>
      <c r="AE20" s="1287"/>
      <c r="AF20" s="1287"/>
      <c r="AG20" s="1287"/>
      <c r="AH20" s="1287"/>
      <c r="AI20" s="1287"/>
      <c r="AJ20" s="1287"/>
      <c r="AK20" s="1287"/>
      <c r="AL20" s="1287"/>
      <c r="AM20" s="1287"/>
      <c r="AN20" s="1287"/>
      <c r="AO20" s="1287"/>
      <c r="AP20" s="1287"/>
      <c r="AQ20" s="2075"/>
      <c r="AR20" s="2250"/>
      <c r="AS20" s="2251"/>
      <c r="AT20" s="2251"/>
      <c r="AU20" s="2252"/>
      <c r="AV20" s="1287"/>
      <c r="AW20" s="1287"/>
      <c r="AX20" s="1287"/>
      <c r="AY20" s="2248"/>
      <c r="AZ20" s="1430"/>
      <c r="BA20" s="1431"/>
      <c r="BB20" s="2222"/>
      <c r="BC20" s="2137"/>
      <c r="BD20" s="1287"/>
      <c r="BE20" s="1287"/>
      <c r="BF20" s="1287"/>
      <c r="BG20" s="1287"/>
      <c r="BH20" s="1287"/>
      <c r="BI20" s="1287"/>
      <c r="BJ20" s="1287"/>
      <c r="BK20" s="1287"/>
      <c r="BL20" s="1431"/>
      <c r="BM20" s="1432"/>
      <c r="BN20" s="1431"/>
      <c r="BO20" s="1432"/>
      <c r="BP20" s="1287"/>
      <c r="BQ20" s="1287"/>
      <c r="BR20" s="1287"/>
      <c r="BS20" s="1287"/>
      <c r="BT20" s="1287"/>
      <c r="BU20" s="1287"/>
      <c r="BV20" s="1287"/>
      <c r="BW20" s="1287"/>
      <c r="BX20" s="1431"/>
      <c r="BY20" s="1432"/>
      <c r="BZ20" s="1431"/>
      <c r="CA20" s="1432"/>
      <c r="CB20" s="1287"/>
      <c r="CC20" s="1287"/>
      <c r="CD20" s="1287"/>
      <c r="CE20" s="1287"/>
      <c r="CF20" s="1287"/>
      <c r="CG20" s="1287"/>
      <c r="CH20" s="1431"/>
      <c r="CI20" s="1432"/>
      <c r="CJ20" s="1431"/>
      <c r="CK20" s="1452"/>
      <c r="CL20" s="1461"/>
      <c r="CM20" s="1461"/>
      <c r="CN20" s="1461"/>
      <c r="CO20" s="1287"/>
      <c r="CP20" s="1287"/>
      <c r="CQ20" s="1287"/>
      <c r="CR20" s="1287"/>
      <c r="CS20" s="1287"/>
      <c r="CT20" s="1287"/>
      <c r="CU20" s="1436"/>
      <c r="CV20" s="1432"/>
      <c r="CW20" s="1431"/>
      <c r="CX20" s="1432"/>
      <c r="CY20" s="1287"/>
      <c r="CZ20" s="1287"/>
      <c r="DA20" s="1287"/>
      <c r="DB20" s="1431"/>
      <c r="DC20" s="1432"/>
      <c r="DD20" s="1431"/>
      <c r="DE20" s="63" t="s">
        <v>635</v>
      </c>
      <c r="DJ20" s="1304" t="s">
        <v>627</v>
      </c>
      <c r="DK20" s="1293"/>
      <c r="DL20" s="1417">
        <f>SUM(E104:U104)</f>
        <v>0</v>
      </c>
      <c r="DM20" s="1438" t="s">
        <v>627</v>
      </c>
      <c r="DN20" s="1293"/>
      <c r="DO20" s="1419">
        <f>SUM(AA104:AY104)</f>
        <v>0</v>
      </c>
      <c r="DP20" s="1315" t="s">
        <v>503</v>
      </c>
      <c r="DQ20" s="1293"/>
      <c r="DR20" s="1420">
        <f>SUM(BB110:BN110)</f>
        <v>0</v>
      </c>
      <c r="DS20" s="1421" t="s">
        <v>636</v>
      </c>
      <c r="DT20" s="1293"/>
      <c r="DU20" s="1422">
        <f>SUM(CA111:CJ111)</f>
        <v>0</v>
      </c>
      <c r="DV20" s="1423" t="s">
        <v>636</v>
      </c>
      <c r="DW20" s="1293"/>
      <c r="DX20" s="1424">
        <f>SUM(CK111:CW111)</f>
        <v>0</v>
      </c>
      <c r="DY20" s="1425" t="s">
        <v>636</v>
      </c>
      <c r="DZ20" s="1293"/>
      <c r="EA20" s="1426">
        <f>SUM(CX111:DD111)</f>
        <v>0</v>
      </c>
      <c r="EB20" s="1427" t="s">
        <v>503</v>
      </c>
      <c r="EC20" s="1293"/>
      <c r="ED20" s="1428">
        <f>SUM(BO110:BZ110)</f>
        <v>0</v>
      </c>
    </row>
    <row r="21" spans="1:141" ht="24" customHeight="1">
      <c r="A21" s="3029" t="s">
        <v>637</v>
      </c>
      <c r="B21" s="3030"/>
      <c r="C21" s="2153" t="s">
        <v>453</v>
      </c>
      <c r="D21" s="2154" t="s">
        <v>453</v>
      </c>
      <c r="E21" s="2137" t="s">
        <v>453</v>
      </c>
      <c r="F21" s="2198" t="s">
        <v>453</v>
      </c>
      <c r="G21" s="1287" t="s">
        <v>453</v>
      </c>
      <c r="H21" s="1287" t="s">
        <v>453</v>
      </c>
      <c r="I21" s="1287" t="s">
        <v>453</v>
      </c>
      <c r="J21" s="1287" t="s">
        <v>453</v>
      </c>
      <c r="K21" s="1287" t="s">
        <v>453</v>
      </c>
      <c r="L21" s="1287" t="s">
        <v>453</v>
      </c>
      <c r="M21" s="1287" t="s">
        <v>453</v>
      </c>
      <c r="N21" s="1287" t="s">
        <v>453</v>
      </c>
      <c r="O21" s="1287" t="s">
        <v>453</v>
      </c>
      <c r="P21" s="1287" t="s">
        <v>453</v>
      </c>
      <c r="Q21" s="1287" t="s">
        <v>453</v>
      </c>
      <c r="R21" s="1287" t="s">
        <v>453</v>
      </c>
      <c r="S21" s="1287" t="s">
        <v>453</v>
      </c>
      <c r="T21" s="1287" t="s">
        <v>453</v>
      </c>
      <c r="U21" s="1431" t="s">
        <v>453</v>
      </c>
      <c r="V21" s="1430" t="s">
        <v>453</v>
      </c>
      <c r="W21" s="1436" t="s">
        <v>453</v>
      </c>
      <c r="X21" s="2222" t="s">
        <v>453</v>
      </c>
      <c r="Y21" s="2198" t="s">
        <v>453</v>
      </c>
      <c r="Z21" s="1436" t="s">
        <v>453</v>
      </c>
      <c r="AA21" s="1432" t="s">
        <v>453</v>
      </c>
      <c r="AB21" s="1287" t="s">
        <v>453</v>
      </c>
      <c r="AC21" s="1287" t="s">
        <v>453</v>
      </c>
      <c r="AD21" s="1287" t="s">
        <v>453</v>
      </c>
      <c r="AE21" s="1287" t="s">
        <v>453</v>
      </c>
      <c r="AF21" s="1287" t="s">
        <v>453</v>
      </c>
      <c r="AG21" s="1287" t="s">
        <v>453</v>
      </c>
      <c r="AH21" s="1287" t="s">
        <v>453</v>
      </c>
      <c r="AI21" s="1287" t="s">
        <v>453</v>
      </c>
      <c r="AJ21" s="1287" t="s">
        <v>453</v>
      </c>
      <c r="AK21" s="1287" t="s">
        <v>453</v>
      </c>
      <c r="AL21" s="1287" t="s">
        <v>453</v>
      </c>
      <c r="AM21" s="1287" t="s">
        <v>453</v>
      </c>
      <c r="AN21" s="1287" t="s">
        <v>453</v>
      </c>
      <c r="AO21" s="1287" t="s">
        <v>453</v>
      </c>
      <c r="AP21" s="1287" t="s">
        <v>453</v>
      </c>
      <c r="AQ21" s="2075" t="s">
        <v>453</v>
      </c>
      <c r="AR21" s="2250"/>
      <c r="AS21" s="2251"/>
      <c r="AT21" s="2251"/>
      <c r="AU21" s="2252"/>
      <c r="AV21" s="1287" t="s">
        <v>453</v>
      </c>
      <c r="AW21" s="1287" t="s">
        <v>453</v>
      </c>
      <c r="AX21" s="1287" t="s">
        <v>453</v>
      </c>
      <c r="AY21" s="2248" t="s">
        <v>453</v>
      </c>
      <c r="AZ21" s="1430" t="s">
        <v>453</v>
      </c>
      <c r="BA21" s="1436" t="s">
        <v>453</v>
      </c>
      <c r="BB21" s="2222" t="s">
        <v>453</v>
      </c>
      <c r="BC21" s="2137" t="s">
        <v>453</v>
      </c>
      <c r="BD21" s="1287" t="s">
        <v>453</v>
      </c>
      <c r="BE21" s="1287" t="s">
        <v>453</v>
      </c>
      <c r="BF21" s="1287" t="s">
        <v>453</v>
      </c>
      <c r="BG21" s="1287" t="s">
        <v>453</v>
      </c>
      <c r="BH21" s="1287" t="s">
        <v>453</v>
      </c>
      <c r="BI21" s="1287" t="s">
        <v>453</v>
      </c>
      <c r="BJ21" s="1287" t="s">
        <v>453</v>
      </c>
      <c r="BK21" s="1287" t="s">
        <v>453</v>
      </c>
      <c r="BL21" s="1431" t="s">
        <v>453</v>
      </c>
      <c r="BM21" s="1430" t="s">
        <v>453</v>
      </c>
      <c r="BN21" s="1436" t="s">
        <v>453</v>
      </c>
      <c r="BO21" s="1432" t="s">
        <v>453</v>
      </c>
      <c r="BP21" s="1287" t="s">
        <v>453</v>
      </c>
      <c r="BQ21" s="1287" t="s">
        <v>453</v>
      </c>
      <c r="BR21" s="1287" t="s">
        <v>453</v>
      </c>
      <c r="BS21" s="1287" t="s">
        <v>453</v>
      </c>
      <c r="BT21" s="1287" t="s">
        <v>453</v>
      </c>
      <c r="BU21" s="1287" t="s">
        <v>453</v>
      </c>
      <c r="BV21" s="1287" t="s">
        <v>453</v>
      </c>
      <c r="BW21" s="1287" t="s">
        <v>453</v>
      </c>
      <c r="BX21" s="1431" t="s">
        <v>453</v>
      </c>
      <c r="BY21" s="1430" t="s">
        <v>453</v>
      </c>
      <c r="BZ21" s="1436" t="s">
        <v>453</v>
      </c>
      <c r="CA21" s="1432" t="s">
        <v>453</v>
      </c>
      <c r="CB21" s="1287" t="s">
        <v>453</v>
      </c>
      <c r="CC21" s="1287" t="s">
        <v>453</v>
      </c>
      <c r="CD21" s="1287" t="s">
        <v>453</v>
      </c>
      <c r="CE21" s="1287" t="s">
        <v>453</v>
      </c>
      <c r="CF21" s="1287" t="s">
        <v>453</v>
      </c>
      <c r="CG21" s="1287" t="s">
        <v>453</v>
      </c>
      <c r="CH21" s="1431" t="s">
        <v>453</v>
      </c>
      <c r="CI21" s="1430" t="s">
        <v>453</v>
      </c>
      <c r="CJ21" s="1287" t="s">
        <v>453</v>
      </c>
      <c r="CK21" s="1432" t="s">
        <v>453</v>
      </c>
      <c r="CL21" s="1287" t="s">
        <v>453</v>
      </c>
      <c r="CM21" s="1287" t="s">
        <v>453</v>
      </c>
      <c r="CN21" s="1287" t="s">
        <v>453</v>
      </c>
      <c r="CO21" s="1287" t="s">
        <v>453</v>
      </c>
      <c r="CP21" s="1287" t="s">
        <v>453</v>
      </c>
      <c r="CQ21" s="1287" t="s">
        <v>453</v>
      </c>
      <c r="CR21" s="1287" t="s">
        <v>453</v>
      </c>
      <c r="CS21" s="1287" t="s">
        <v>453</v>
      </c>
      <c r="CT21" s="1287" t="s">
        <v>453</v>
      </c>
      <c r="CU21" s="1436" t="s">
        <v>453</v>
      </c>
      <c r="CV21" s="1432" t="s">
        <v>453</v>
      </c>
      <c r="CW21" s="1431" t="s">
        <v>453</v>
      </c>
      <c r="CX21" s="1432" t="s">
        <v>453</v>
      </c>
      <c r="CY21" s="1287" t="s">
        <v>453</v>
      </c>
      <c r="CZ21" s="1287" t="s">
        <v>453</v>
      </c>
      <c r="DA21" s="1287" t="s">
        <v>453</v>
      </c>
      <c r="DB21" s="1431" t="s">
        <v>453</v>
      </c>
      <c r="DC21" s="1430" t="s">
        <v>453</v>
      </c>
      <c r="DD21" s="1287" t="s">
        <v>453</v>
      </c>
      <c r="DE21" s="63"/>
      <c r="DJ21" s="3025" t="s">
        <v>638</v>
      </c>
      <c r="DK21" s="3026"/>
      <c r="DL21" s="1417"/>
      <c r="DM21" s="3036" t="s">
        <v>639</v>
      </c>
      <c r="DN21" s="3037"/>
      <c r="DO21" s="1419"/>
      <c r="DP21" s="1315" t="s">
        <v>636</v>
      </c>
      <c r="DQ21" s="1293"/>
      <c r="DR21" s="1420">
        <f>SUM(BB111:BN111)</f>
        <v>0</v>
      </c>
      <c r="DS21" s="1421" t="s">
        <v>508</v>
      </c>
      <c r="DT21" s="1293"/>
      <c r="DU21" s="1422">
        <f>SUM(CI98:CJ98)+SUM(CI81:CJ81)</f>
        <v>0</v>
      </c>
      <c r="DV21" s="1423" t="s">
        <v>508</v>
      </c>
      <c r="DW21" s="1293"/>
      <c r="DX21" s="1424">
        <f>SUM(CV98:CW98)+SUM(CV81:CW81)</f>
        <v>0</v>
      </c>
      <c r="DY21" s="1425" t="s">
        <v>508</v>
      </c>
      <c r="DZ21" s="1293"/>
      <c r="EA21" s="1426">
        <f>SUM(DC98:DD98)+SUM(DC81:DD81)</f>
        <v>0</v>
      </c>
      <c r="EB21" s="1427" t="s">
        <v>636</v>
      </c>
      <c r="EC21" s="1293"/>
      <c r="ED21" s="1428">
        <f>SUM(BO111:BZ111)</f>
        <v>0</v>
      </c>
    </row>
    <row r="22" spans="1:141" ht="24" customHeight="1">
      <c r="A22" s="3029" t="s">
        <v>640</v>
      </c>
      <c r="B22" s="3030"/>
      <c r="C22" s="2169">
        <f>+SatsBilag!$B$12</f>
        <v>1.2725471124999996</v>
      </c>
      <c r="D22" s="2170">
        <f>+SatsBilag!$B$12</f>
        <v>1.2725471124999996</v>
      </c>
      <c r="E22" s="2139">
        <f>'lon undervisning'!$C$17</f>
        <v>1.2725471124999996</v>
      </c>
      <c r="F22" s="2204">
        <f>'lon undervisning'!$C$17</f>
        <v>1.2725471124999996</v>
      </c>
      <c r="G22" s="1499">
        <f>'lon undervisning'!$C$17</f>
        <v>1.2725471124999996</v>
      </c>
      <c r="H22" s="1499">
        <f>'lon undervisning'!$C$17</f>
        <v>1.2725471124999996</v>
      </c>
      <c r="I22" s="1499">
        <f>'lon undervisning'!$C$17</f>
        <v>1.2725471124999996</v>
      </c>
      <c r="J22" s="1499">
        <f>'lon undervisning'!$C$17</f>
        <v>1.2725471124999996</v>
      </c>
      <c r="K22" s="1499">
        <f>'lon undervisning'!$C$17</f>
        <v>1.2725471124999996</v>
      </c>
      <c r="L22" s="1499">
        <f>'lon undervisning'!$C$17</f>
        <v>1.2725471124999996</v>
      </c>
      <c r="M22" s="1499">
        <f>'lon undervisning'!$C$17</f>
        <v>1.2725471124999996</v>
      </c>
      <c r="N22" s="1499">
        <f>'lon undervisning'!$C$17</f>
        <v>1.2725471124999996</v>
      </c>
      <c r="O22" s="1499">
        <f>'lon undervisning'!$C$17</f>
        <v>1.2725471124999996</v>
      </c>
      <c r="P22" s="1499">
        <f>'lon undervisning'!$C$17</f>
        <v>1.2725471124999996</v>
      </c>
      <c r="Q22" s="1499">
        <f>'lon undervisning'!$C$17</f>
        <v>1.2725471124999996</v>
      </c>
      <c r="R22" s="1499">
        <f>'lon undervisning'!$C$17</f>
        <v>1.2725471124999996</v>
      </c>
      <c r="S22" s="1499">
        <f>'lon undervisning'!$C$17</f>
        <v>1.2725471124999996</v>
      </c>
      <c r="T22" s="1499">
        <f>'lon undervisning'!$C$17</f>
        <v>1.2725471124999996</v>
      </c>
      <c r="U22" s="1497">
        <f>'lon undervisning'!$C$17</f>
        <v>1.2725471124999996</v>
      </c>
      <c r="V22" s="1496">
        <f>'lon undervisning'!$C$17</f>
        <v>1.2725471124999996</v>
      </c>
      <c r="W22" s="1497">
        <f>'lon undervisning'!$C$17</f>
        <v>1.2725471124999996</v>
      </c>
      <c r="X22" s="2224">
        <f>'lon undervisning'!$C$17</f>
        <v>1.2725471124999996</v>
      </c>
      <c r="Y22" s="2204">
        <f>'lon undervisning'!$C$17</f>
        <v>1.2725471124999996</v>
      </c>
      <c r="Z22" s="1500">
        <f>'lon undervisning'!$C$17</f>
        <v>1.2725471124999996</v>
      </c>
      <c r="AA22" s="1498">
        <f>'lon undervisning'!$C$17</f>
        <v>1.2725471124999996</v>
      </c>
      <c r="AB22" s="1499">
        <f>'lon undervisning'!$C$17</f>
        <v>1.2725471124999996</v>
      </c>
      <c r="AC22" s="1499">
        <f>'lon undervisning'!$C$17</f>
        <v>1.2725471124999996</v>
      </c>
      <c r="AD22" s="1499">
        <f>'lon undervisning'!$C$17</f>
        <v>1.2725471124999996</v>
      </c>
      <c r="AE22" s="1499">
        <f>'lon undervisning'!$C$17</f>
        <v>1.2725471124999996</v>
      </c>
      <c r="AF22" s="1499">
        <f>'lon undervisning'!$C$17</f>
        <v>1.2725471124999996</v>
      </c>
      <c r="AG22" s="1499">
        <f>'lon undervisning'!$C$17</f>
        <v>1.2725471124999996</v>
      </c>
      <c r="AH22" s="1499">
        <f>'lon undervisning'!$C$17</f>
        <v>1.2725471124999996</v>
      </c>
      <c r="AI22" s="1499">
        <f>'lon undervisning'!$C$17</f>
        <v>1.2725471124999996</v>
      </c>
      <c r="AJ22" s="1499">
        <f>'lon undervisning'!$C$17</f>
        <v>1.2725471124999996</v>
      </c>
      <c r="AK22" s="1499">
        <f>'lon undervisning'!$C$17</f>
        <v>1.2725471124999996</v>
      </c>
      <c r="AL22" s="1499">
        <f>'lon undervisning'!$C$17</f>
        <v>1.2725471124999996</v>
      </c>
      <c r="AM22" s="1499">
        <f>'lon undervisning'!$C$17</f>
        <v>1.2725471124999996</v>
      </c>
      <c r="AN22" s="1499">
        <f>'lon undervisning'!$C$17</f>
        <v>1.2725471124999996</v>
      </c>
      <c r="AO22" s="1499">
        <f>'lon undervisning'!$C$17</f>
        <v>1.2725471124999996</v>
      </c>
      <c r="AP22" s="1499">
        <f>'lon undervisning'!$C$17</f>
        <v>1.2725471124999996</v>
      </c>
      <c r="AQ22" s="1500">
        <f>'lon undervisning'!$C$17</f>
        <v>1.2725471124999996</v>
      </c>
      <c r="AR22" s="2279">
        <f>'lon undervisning'!$C$17</f>
        <v>1.2725471124999996</v>
      </c>
      <c r="AS22" s="2280">
        <f>'lon undervisning'!$C$17</f>
        <v>1.2725471124999996</v>
      </c>
      <c r="AT22" s="2280">
        <f>'lon undervisning'!$C$17</f>
        <v>1.2725471124999996</v>
      </c>
      <c r="AU22" s="2253">
        <f>'lon undervisning'!$C$17</f>
        <v>1.2725471124999996</v>
      </c>
      <c r="AV22" s="2279">
        <f>'lon undervisning'!$C$17</f>
        <v>1.2725471124999996</v>
      </c>
      <c r="AW22" s="2280">
        <f>'lon undervisning'!$C$17</f>
        <v>1.2725471124999996</v>
      </c>
      <c r="AX22" s="2280">
        <f>'lon undervisning'!$C$17</f>
        <v>1.2725471124999996</v>
      </c>
      <c r="AY22" s="2253">
        <f>'lon undervisning'!$C$17</f>
        <v>1.2725471124999996</v>
      </c>
      <c r="AZ22" s="1496">
        <f>'lon undervisning'!$C$17</f>
        <v>1.2725471124999996</v>
      </c>
      <c r="BA22" s="1497">
        <f>'lon undervisning'!$C$17</f>
        <v>1.2725471124999996</v>
      </c>
      <c r="BB22" s="2224">
        <f>'lon undervisning'!$C$17</f>
        <v>1.2725471124999996</v>
      </c>
      <c r="BC22" s="2139">
        <f>'lon undervisning'!$C$17</f>
        <v>1.2725471124999996</v>
      </c>
      <c r="BD22" s="1499">
        <f>'lon undervisning'!$C$17</f>
        <v>1.2725471124999996</v>
      </c>
      <c r="BE22" s="1499">
        <f>'lon undervisning'!$C$17</f>
        <v>1.2725471124999996</v>
      </c>
      <c r="BF22" s="1499">
        <f>'lon undervisning'!$C$17</f>
        <v>1.2725471124999996</v>
      </c>
      <c r="BG22" s="1499">
        <f>'lon undervisning'!$C$17</f>
        <v>1.2725471124999996</v>
      </c>
      <c r="BH22" s="1499">
        <f>'lon undervisning'!$C$17</f>
        <v>1.2725471124999996</v>
      </c>
      <c r="BI22" s="1499">
        <f>'lon undervisning'!$C$17</f>
        <v>1.2725471124999996</v>
      </c>
      <c r="BJ22" s="1499">
        <f>'lon undervisning'!$C$17</f>
        <v>1.2725471124999996</v>
      </c>
      <c r="BK22" s="1499">
        <f>'lon undervisning'!$C$17</f>
        <v>1.2725471124999996</v>
      </c>
      <c r="BL22" s="1497">
        <f>'lon undervisning'!$C$17</f>
        <v>1.2725471124999996</v>
      </c>
      <c r="BM22" s="1498">
        <f>'lon undervisning'!$C$17</f>
        <v>1.2725471124999996</v>
      </c>
      <c r="BN22" s="1497">
        <f>'lon undervisning'!$C$17</f>
        <v>1.2725471124999996</v>
      </c>
      <c r="BO22" s="1498">
        <f>'lon undervisning'!$C$17</f>
        <v>1.2725471124999996</v>
      </c>
      <c r="BP22" s="1499">
        <f>'lon undervisning'!$C$17</f>
        <v>1.2725471124999996</v>
      </c>
      <c r="BQ22" s="1499">
        <f>'lon undervisning'!$C$17</f>
        <v>1.2725471124999996</v>
      </c>
      <c r="BR22" s="1499">
        <f>'lon undervisning'!$C$17</f>
        <v>1.2725471124999996</v>
      </c>
      <c r="BS22" s="1499">
        <f>'lon undervisning'!$C$17</f>
        <v>1.2725471124999996</v>
      </c>
      <c r="BT22" s="1499">
        <f>'lon undervisning'!$C$17</f>
        <v>1.2725471124999996</v>
      </c>
      <c r="BU22" s="1499">
        <f>'lon undervisning'!$C$17</f>
        <v>1.2725471124999996</v>
      </c>
      <c r="BV22" s="1499">
        <f>'lon undervisning'!$C$17</f>
        <v>1.2725471124999996</v>
      </c>
      <c r="BW22" s="1499">
        <f>'lon undervisning'!$C$17</f>
        <v>1.2725471124999996</v>
      </c>
      <c r="BX22" s="1497">
        <f>'lon undervisning'!$C$17</f>
        <v>1.2725471124999996</v>
      </c>
      <c r="BY22" s="1498">
        <f>'lon undervisning'!$C$17</f>
        <v>1.2725471124999996</v>
      </c>
      <c r="BZ22" s="1497">
        <f>'lon undervisning'!$C$17</f>
        <v>1.2725471124999996</v>
      </c>
      <c r="CA22" s="1498">
        <f>'lon undervisning'!$C$17</f>
        <v>1.2725471124999996</v>
      </c>
      <c r="CB22" s="1499">
        <f>'lon undervisning'!$C$17</f>
        <v>1.2725471124999996</v>
      </c>
      <c r="CC22" s="1499">
        <f>'lon undervisning'!$C$17</f>
        <v>1.2725471124999996</v>
      </c>
      <c r="CD22" s="1499">
        <f>'lon undervisning'!$C$17</f>
        <v>1.2725471124999996</v>
      </c>
      <c r="CE22" s="1499">
        <f>'lon undervisning'!$C$17</f>
        <v>1.2725471124999996</v>
      </c>
      <c r="CF22" s="1499">
        <f>'lon undervisning'!$C$17</f>
        <v>1.2725471124999996</v>
      </c>
      <c r="CG22" s="1499">
        <f>'lon undervisning'!$C$17</f>
        <v>1.2725471124999996</v>
      </c>
      <c r="CH22" s="1497">
        <f>'lon undervisning'!$C$17</f>
        <v>1.2725471124999996</v>
      </c>
      <c r="CI22" s="1498">
        <f>'lon undervisning'!$C$17</f>
        <v>1.2725471124999996</v>
      </c>
      <c r="CJ22" s="1497">
        <f>'lon undervisning'!$C$17</f>
        <v>1.2725471124999996</v>
      </c>
      <c r="CK22" s="1498">
        <f>'lon undervisning'!$C$17</f>
        <v>1.2725471124999996</v>
      </c>
      <c r="CL22" s="1499">
        <f>'lon undervisning'!$C$17</f>
        <v>1.2725471124999996</v>
      </c>
      <c r="CM22" s="1499">
        <f>'lon undervisning'!$C$17</f>
        <v>1.2725471124999996</v>
      </c>
      <c r="CN22" s="1499">
        <f>'lon undervisning'!$C$17</f>
        <v>1.2725471124999996</v>
      </c>
      <c r="CO22" s="1499">
        <f>'lon undervisning'!$C$17</f>
        <v>1.2725471124999996</v>
      </c>
      <c r="CP22" s="1499">
        <f>'lon undervisning'!$C$17</f>
        <v>1.2725471124999996</v>
      </c>
      <c r="CQ22" s="1499">
        <f>'lon undervisning'!$C$17</f>
        <v>1.2725471124999996</v>
      </c>
      <c r="CR22" s="1499">
        <f>'lon undervisning'!$C$17</f>
        <v>1.2725471124999996</v>
      </c>
      <c r="CS22" s="1499">
        <f>'lon undervisning'!$C$17</f>
        <v>1.2725471124999996</v>
      </c>
      <c r="CT22" s="1499">
        <f>'lon undervisning'!$C$17</f>
        <v>1.2725471124999996</v>
      </c>
      <c r="CU22" s="1500">
        <f>'lon undervisning'!$C$17</f>
        <v>1.2725471124999996</v>
      </c>
      <c r="CV22" s="1498">
        <f>'lon undervisning'!$C$17</f>
        <v>1.2725471124999996</v>
      </c>
      <c r="CW22" s="1497">
        <f>'lon undervisning'!$C$17</f>
        <v>1.2725471124999996</v>
      </c>
      <c r="CX22" s="1498">
        <f>'lon undervisning'!$C$17</f>
        <v>1.2725471124999996</v>
      </c>
      <c r="CY22" s="1499">
        <f>'lon undervisning'!$C$17</f>
        <v>1.2725471124999996</v>
      </c>
      <c r="CZ22" s="1499">
        <f>'lon undervisning'!$C$17</f>
        <v>1.2725471124999996</v>
      </c>
      <c r="DA22" s="1499">
        <f>'lon undervisning'!$C$17</f>
        <v>1.2725471124999996</v>
      </c>
      <c r="DB22" s="1497">
        <f>'lon undervisning'!$C$17</f>
        <v>1.2725471124999996</v>
      </c>
      <c r="DC22" s="1498">
        <f>'lon undervisning'!$C$17</f>
        <v>1.2725471124999996</v>
      </c>
      <c r="DD22" s="1497">
        <f>'lon undervisning'!$C$17</f>
        <v>1.2725471124999996</v>
      </c>
      <c r="DE22" s="64" t="str">
        <f>'lon undervisning'!AF17&amp;". Rettes på lærerarket."</f>
        <v>. Rettes på lærerarket.</v>
      </c>
      <c r="DJ22" s="1304" t="s">
        <v>490</v>
      </c>
      <c r="DK22" s="1293"/>
      <c r="DL22" s="1417">
        <f>SUM(C105:U105)</f>
        <v>0</v>
      </c>
      <c r="DM22" s="1438" t="s">
        <v>490</v>
      </c>
      <c r="DN22" s="1293"/>
      <c r="DO22" s="1419">
        <f t="shared" ref="DO22:DO28" si="16">SUM(X105:BA105)</f>
        <v>0</v>
      </c>
      <c r="DP22" s="1315" t="s">
        <v>508</v>
      </c>
      <c r="DQ22" s="1293"/>
      <c r="DR22" s="1420">
        <f>SUM(BM98:BN98)+SUM(BM81:BN81)</f>
        <v>0</v>
      </c>
      <c r="DS22" s="1501" t="s">
        <v>509</v>
      </c>
      <c r="DT22" s="1293"/>
      <c r="DU22" s="1502">
        <f>CJ84</f>
        <v>0</v>
      </c>
      <c r="DV22" s="1503" t="s">
        <v>509</v>
      </c>
      <c r="DW22" s="1293"/>
      <c r="DX22" s="1504">
        <f>CW84</f>
        <v>0</v>
      </c>
      <c r="DY22" s="1505" t="s">
        <v>509</v>
      </c>
      <c r="DZ22" s="1293"/>
      <c r="EA22" s="1506">
        <f>DD84</f>
        <v>0</v>
      </c>
      <c r="EB22" s="1427" t="s">
        <v>508</v>
      </c>
      <c r="EC22" s="1293"/>
      <c r="ED22" s="1428">
        <f>SUM(BY98:BZ98)+BY81+BZ81</f>
        <v>0</v>
      </c>
    </row>
    <row r="23" spans="1:141" ht="24" customHeight="1">
      <c r="A23" s="3029" t="s">
        <v>463</v>
      </c>
      <c r="B23" s="3030"/>
      <c r="C23" s="2171">
        <f>'lon undervisning'!$C$18</f>
        <v>0</v>
      </c>
      <c r="D23" s="2172">
        <f>'lon undervisning'!$C$18</f>
        <v>0</v>
      </c>
      <c r="E23" s="2140">
        <f>'lon undervisning'!$C$18</f>
        <v>0</v>
      </c>
      <c r="F23" s="2205">
        <f>'lon undervisning'!$C$18</f>
        <v>0</v>
      </c>
      <c r="G23" s="1510">
        <f>'lon undervisning'!$C$18</f>
        <v>0</v>
      </c>
      <c r="H23" s="1510">
        <f>'lon undervisning'!$C$18</f>
        <v>0</v>
      </c>
      <c r="I23" s="1510">
        <f>'lon undervisning'!$C$18</f>
        <v>0</v>
      </c>
      <c r="J23" s="1510">
        <f>'lon undervisning'!$C$18</f>
        <v>0</v>
      </c>
      <c r="K23" s="1510">
        <f>'lon undervisning'!$C$18</f>
        <v>0</v>
      </c>
      <c r="L23" s="1510">
        <f>'lon undervisning'!$C$18</f>
        <v>0</v>
      </c>
      <c r="M23" s="1510">
        <f>'lon undervisning'!$C$18</f>
        <v>0</v>
      </c>
      <c r="N23" s="1510">
        <f>'lon undervisning'!$C$18</f>
        <v>0</v>
      </c>
      <c r="O23" s="1510">
        <f>'lon undervisning'!$C$18</f>
        <v>0</v>
      </c>
      <c r="P23" s="1510">
        <f>'lon undervisning'!$C$18</f>
        <v>0</v>
      </c>
      <c r="Q23" s="1510">
        <f>'lon undervisning'!$C$18</f>
        <v>0</v>
      </c>
      <c r="R23" s="1510">
        <f>'lon undervisning'!$C$18</f>
        <v>0</v>
      </c>
      <c r="S23" s="1510">
        <f>'lon undervisning'!$C$18</f>
        <v>0</v>
      </c>
      <c r="T23" s="1510">
        <f>'lon undervisning'!$C$18</f>
        <v>0</v>
      </c>
      <c r="U23" s="1508">
        <f>'lon undervisning'!$C$18</f>
        <v>0</v>
      </c>
      <c r="V23" s="1507">
        <f>'lon undervisning'!$C$18</f>
        <v>0</v>
      </c>
      <c r="W23" s="1508">
        <f>'lon undervisning'!$C$18</f>
        <v>0</v>
      </c>
      <c r="X23" s="2225">
        <f>'lon undervisning'!$C$18</f>
        <v>0</v>
      </c>
      <c r="Y23" s="2205">
        <f>'lon undervisning'!$C$18</f>
        <v>0</v>
      </c>
      <c r="Z23" s="1511">
        <f>'lon undervisning'!$C$18</f>
        <v>0</v>
      </c>
      <c r="AA23" s="1509">
        <f>'lon undervisning'!$C$18</f>
        <v>0</v>
      </c>
      <c r="AB23" s="1510">
        <f>'lon undervisning'!$C$18</f>
        <v>0</v>
      </c>
      <c r="AC23" s="1510">
        <f>'lon undervisning'!$C$18</f>
        <v>0</v>
      </c>
      <c r="AD23" s="1510">
        <f>'lon undervisning'!$C$18</f>
        <v>0</v>
      </c>
      <c r="AE23" s="1510">
        <f>'lon undervisning'!$C$18</f>
        <v>0</v>
      </c>
      <c r="AF23" s="1510">
        <f>'lon undervisning'!$C$18</f>
        <v>0</v>
      </c>
      <c r="AG23" s="1510">
        <f>'lon undervisning'!$C$18</f>
        <v>0</v>
      </c>
      <c r="AH23" s="1510">
        <f>'lon undervisning'!$C$18</f>
        <v>0</v>
      </c>
      <c r="AI23" s="1510">
        <f>'lon undervisning'!$C$18</f>
        <v>0</v>
      </c>
      <c r="AJ23" s="1510">
        <f>'lon undervisning'!$C$18</f>
        <v>0</v>
      </c>
      <c r="AK23" s="1510">
        <f>'lon undervisning'!$C$18</f>
        <v>0</v>
      </c>
      <c r="AL23" s="1510">
        <f>'lon undervisning'!$C$18</f>
        <v>0</v>
      </c>
      <c r="AM23" s="1510">
        <f>'lon undervisning'!$C$18</f>
        <v>0</v>
      </c>
      <c r="AN23" s="1510">
        <f>'lon undervisning'!$C$18</f>
        <v>0</v>
      </c>
      <c r="AO23" s="1510">
        <f>'lon undervisning'!$C$18</f>
        <v>0</v>
      </c>
      <c r="AP23" s="1510">
        <f>'lon undervisning'!$C$18</f>
        <v>0</v>
      </c>
      <c r="AQ23" s="1511">
        <f>'lon undervisning'!$C$18</f>
        <v>0</v>
      </c>
      <c r="AR23" s="2281">
        <f>'lon undervisning'!$C$18</f>
        <v>0</v>
      </c>
      <c r="AS23" s="2282">
        <f>'lon undervisning'!$C$18</f>
        <v>0</v>
      </c>
      <c r="AT23" s="2282">
        <f>'lon undervisning'!$C$18</f>
        <v>0</v>
      </c>
      <c r="AU23" s="2254">
        <f>'lon undervisning'!$C$18</f>
        <v>0</v>
      </c>
      <c r="AV23" s="2281">
        <f>'lon undervisning'!$C$18</f>
        <v>0</v>
      </c>
      <c r="AW23" s="2282">
        <f>'lon undervisning'!$C$18</f>
        <v>0</v>
      </c>
      <c r="AX23" s="2282">
        <f>'lon undervisning'!$C$18</f>
        <v>0</v>
      </c>
      <c r="AY23" s="2254">
        <f>'lon undervisning'!$C$18</f>
        <v>0</v>
      </c>
      <c r="AZ23" s="1507">
        <f>'lon undervisning'!$C$18</f>
        <v>0</v>
      </c>
      <c r="BA23" s="1508">
        <f>'lon undervisning'!$C$18</f>
        <v>0</v>
      </c>
      <c r="BB23" s="2225">
        <f>'lon undervisning'!$C$18</f>
        <v>0</v>
      </c>
      <c r="BC23" s="2140">
        <f>'lon undervisning'!$C$18</f>
        <v>0</v>
      </c>
      <c r="BD23" s="1510">
        <f>'lon undervisning'!$C$18</f>
        <v>0</v>
      </c>
      <c r="BE23" s="1510">
        <f>'lon undervisning'!$C$18</f>
        <v>0</v>
      </c>
      <c r="BF23" s="1510">
        <f>'lon undervisning'!$C$18</f>
        <v>0</v>
      </c>
      <c r="BG23" s="1510">
        <f>'lon undervisning'!$C$18</f>
        <v>0</v>
      </c>
      <c r="BH23" s="1510">
        <f>'lon undervisning'!$C$18</f>
        <v>0</v>
      </c>
      <c r="BI23" s="1510">
        <f>'lon undervisning'!$C$18</f>
        <v>0</v>
      </c>
      <c r="BJ23" s="1510">
        <f>'lon undervisning'!$C$18</f>
        <v>0</v>
      </c>
      <c r="BK23" s="1510">
        <f>'lon undervisning'!$C$18</f>
        <v>0</v>
      </c>
      <c r="BL23" s="1508">
        <f>'lon undervisning'!$C$18</f>
        <v>0</v>
      </c>
      <c r="BM23" s="1509">
        <f>'lon undervisning'!$C$18</f>
        <v>0</v>
      </c>
      <c r="BN23" s="1508">
        <f>'lon undervisning'!$C$18</f>
        <v>0</v>
      </c>
      <c r="BO23" s="1509">
        <f>'lon undervisning'!$C$18</f>
        <v>0</v>
      </c>
      <c r="BP23" s="1510">
        <f>'lon undervisning'!$C$18</f>
        <v>0</v>
      </c>
      <c r="BQ23" s="1510">
        <f>'lon undervisning'!$C$18</f>
        <v>0</v>
      </c>
      <c r="BR23" s="1510">
        <f>'lon undervisning'!$C$18</f>
        <v>0</v>
      </c>
      <c r="BS23" s="1510">
        <f>'lon undervisning'!$C$18</f>
        <v>0</v>
      </c>
      <c r="BT23" s="1510">
        <f>'lon undervisning'!$C$18</f>
        <v>0</v>
      </c>
      <c r="BU23" s="1510">
        <f>'lon undervisning'!$C$18</f>
        <v>0</v>
      </c>
      <c r="BV23" s="1510">
        <f>'lon undervisning'!$C$18</f>
        <v>0</v>
      </c>
      <c r="BW23" s="1510">
        <f>'lon undervisning'!$C$18</f>
        <v>0</v>
      </c>
      <c r="BX23" s="1508">
        <f>'lon undervisning'!$C$18</f>
        <v>0</v>
      </c>
      <c r="BY23" s="1509">
        <f>'lon undervisning'!$C$18</f>
        <v>0</v>
      </c>
      <c r="BZ23" s="1508">
        <f>'lon undervisning'!$C$18</f>
        <v>0</v>
      </c>
      <c r="CA23" s="1509">
        <f>'lon undervisning'!$C$18</f>
        <v>0</v>
      </c>
      <c r="CB23" s="1510">
        <f>'lon undervisning'!$C$18</f>
        <v>0</v>
      </c>
      <c r="CC23" s="1510">
        <f>'lon undervisning'!$C$18</f>
        <v>0</v>
      </c>
      <c r="CD23" s="1510">
        <f>'lon undervisning'!$C$18</f>
        <v>0</v>
      </c>
      <c r="CE23" s="1510">
        <f>'lon undervisning'!$C$18</f>
        <v>0</v>
      </c>
      <c r="CF23" s="1510">
        <f>'lon undervisning'!$C$18</f>
        <v>0</v>
      </c>
      <c r="CG23" s="1510">
        <f>'lon undervisning'!$C$18</f>
        <v>0</v>
      </c>
      <c r="CH23" s="1508">
        <f>'lon undervisning'!$C$18</f>
        <v>0</v>
      </c>
      <c r="CI23" s="1509">
        <f>'lon undervisning'!$C$18</f>
        <v>0</v>
      </c>
      <c r="CJ23" s="1508">
        <f>'lon undervisning'!$C$18</f>
        <v>0</v>
      </c>
      <c r="CK23" s="1509">
        <f>'lon undervisning'!$C$18</f>
        <v>0</v>
      </c>
      <c r="CL23" s="1510">
        <f>'lon undervisning'!$C$18</f>
        <v>0</v>
      </c>
      <c r="CM23" s="1510">
        <f>'lon undervisning'!$C$18</f>
        <v>0</v>
      </c>
      <c r="CN23" s="1510">
        <f>'lon undervisning'!$C$18</f>
        <v>0</v>
      </c>
      <c r="CO23" s="1510">
        <f>'lon undervisning'!$C$18</f>
        <v>0</v>
      </c>
      <c r="CP23" s="1510">
        <f>'lon undervisning'!$C$18</f>
        <v>0</v>
      </c>
      <c r="CQ23" s="1510">
        <f>'lon undervisning'!$C$18</f>
        <v>0</v>
      </c>
      <c r="CR23" s="1510">
        <f>'lon undervisning'!$C$18</f>
        <v>0</v>
      </c>
      <c r="CS23" s="1510">
        <f>'lon undervisning'!$C$18</f>
        <v>0</v>
      </c>
      <c r="CT23" s="1510">
        <f>'lon undervisning'!$C$18</f>
        <v>0</v>
      </c>
      <c r="CU23" s="1511">
        <f>'lon undervisning'!$C$18</f>
        <v>0</v>
      </c>
      <c r="CV23" s="1509">
        <f>'lon undervisning'!$C$18</f>
        <v>0</v>
      </c>
      <c r="CW23" s="1508">
        <f>'lon undervisning'!$C$18</f>
        <v>0</v>
      </c>
      <c r="CX23" s="1509">
        <f>'lon undervisning'!$C$18</f>
        <v>0</v>
      </c>
      <c r="CY23" s="1510">
        <f>'lon undervisning'!$C$18</f>
        <v>0</v>
      </c>
      <c r="CZ23" s="1510">
        <f>'lon undervisning'!$C$18</f>
        <v>0</v>
      </c>
      <c r="DA23" s="1510">
        <f>'lon undervisning'!$C$18</f>
        <v>0</v>
      </c>
      <c r="DB23" s="1508">
        <f>'lon undervisning'!$C$18</f>
        <v>0</v>
      </c>
      <c r="DC23" s="1509">
        <f>'lon undervisning'!$C$18</f>
        <v>0</v>
      </c>
      <c r="DD23" s="1508">
        <f>'lon undervisning'!$C$18</f>
        <v>0</v>
      </c>
      <c r="DE23" s="63" t="s">
        <v>641</v>
      </c>
      <c r="DJ23" s="1304" t="s">
        <v>642</v>
      </c>
      <c r="DK23" s="1293"/>
      <c r="DL23" s="1417">
        <f t="shared" ref="DL23:DL28" si="17">SUM(C106:W106)</f>
        <v>0</v>
      </c>
      <c r="DM23" s="1438" t="str">
        <f>DJ23</f>
        <v>Seniorbonusordning</v>
      </c>
      <c r="DN23" s="1293"/>
      <c r="DO23" s="1419">
        <f t="shared" si="16"/>
        <v>0</v>
      </c>
      <c r="DP23" s="1512" t="s">
        <v>509</v>
      </c>
      <c r="DQ23" s="1293"/>
      <c r="DR23" s="1513">
        <f>BN84</f>
        <v>0</v>
      </c>
      <c r="DS23" s="1501" t="s">
        <v>497</v>
      </c>
      <c r="DT23" s="1293"/>
      <c r="DU23" s="1502">
        <f>SUM(CA106:CJ106)</f>
        <v>0</v>
      </c>
      <c r="DV23" s="1503" t="s">
        <v>497</v>
      </c>
      <c r="DW23" s="1293"/>
      <c r="DX23" s="1504">
        <f>SUM(CK106:CW106)</f>
        <v>0</v>
      </c>
      <c r="DY23" s="1505" t="s">
        <v>497</v>
      </c>
      <c r="DZ23" s="1293"/>
      <c r="EA23" s="1506">
        <f>SUM(CX106:DD106)</f>
        <v>0</v>
      </c>
      <c r="EB23" s="1514" t="s">
        <v>509</v>
      </c>
      <c r="EC23" s="1293"/>
      <c r="ED23" s="1515">
        <f>SUM(BZ84)</f>
        <v>0</v>
      </c>
    </row>
    <row r="24" spans="1:141" ht="24" customHeight="1">
      <c r="A24" s="3029" t="s">
        <v>1539</v>
      </c>
      <c r="B24" s="3030"/>
      <c r="C24" s="2173"/>
      <c r="D24" s="2174"/>
      <c r="E24" s="2141"/>
      <c r="F24" s="2206"/>
      <c r="G24" s="1518"/>
      <c r="H24" s="1518"/>
      <c r="I24" s="1518"/>
      <c r="J24" s="1518"/>
      <c r="K24" s="1518"/>
      <c r="L24" s="1518"/>
      <c r="M24" s="1518"/>
      <c r="N24" s="1518"/>
      <c r="O24" s="1518"/>
      <c r="P24" s="1518"/>
      <c r="Q24" s="1518"/>
      <c r="R24" s="1518"/>
      <c r="S24" s="1518"/>
      <c r="T24" s="1518"/>
      <c r="U24" s="1516"/>
      <c r="V24" s="1519"/>
      <c r="W24" s="1520"/>
      <c r="X24" s="2226"/>
      <c r="Y24" s="2206"/>
      <c r="Z24" s="1521"/>
      <c r="AA24" s="1517"/>
      <c r="AB24" s="1518"/>
      <c r="AC24" s="1518"/>
      <c r="AD24" s="1518"/>
      <c r="AE24" s="1518"/>
      <c r="AF24" s="1518"/>
      <c r="AG24" s="1518"/>
      <c r="AH24" s="1518"/>
      <c r="AI24" s="1518"/>
      <c r="AJ24" s="1518"/>
      <c r="AK24" s="1518"/>
      <c r="AL24" s="1518"/>
      <c r="AM24" s="1518"/>
      <c r="AN24" s="1518"/>
      <c r="AO24" s="1518"/>
      <c r="AP24" s="1518"/>
      <c r="AQ24" s="1518"/>
      <c r="AR24" s="2255"/>
      <c r="AS24" s="2256"/>
      <c r="AT24" s="2256"/>
      <c r="AU24" s="2257"/>
      <c r="AV24" s="2258"/>
      <c r="AW24" s="2256"/>
      <c r="AX24" s="2256"/>
      <c r="AY24" s="2259"/>
      <c r="AZ24" s="1519"/>
      <c r="BA24" s="1520"/>
      <c r="BB24" s="2226"/>
      <c r="BC24" s="2141"/>
      <c r="BD24" s="1518"/>
      <c r="BE24" s="1518"/>
      <c r="BF24" s="1518"/>
      <c r="BG24" s="1518"/>
      <c r="BH24" s="1518"/>
      <c r="BI24" s="1518"/>
      <c r="BJ24" s="1518"/>
      <c r="BK24" s="1518"/>
      <c r="BL24" s="1516"/>
      <c r="BM24" s="1522"/>
      <c r="BN24" s="1520"/>
      <c r="BO24" s="1517"/>
      <c r="BP24" s="1518"/>
      <c r="BQ24" s="1518"/>
      <c r="BR24" s="1518"/>
      <c r="BS24" s="1518"/>
      <c r="BT24" s="1518"/>
      <c r="BU24" s="1518"/>
      <c r="BV24" s="1518"/>
      <c r="BW24" s="1518"/>
      <c r="BX24" s="1516"/>
      <c r="BY24" s="1522"/>
      <c r="BZ24" s="1520"/>
      <c r="CA24" s="1517"/>
      <c r="CB24" s="1518"/>
      <c r="CC24" s="1518"/>
      <c r="CD24" s="1518"/>
      <c r="CE24" s="1518"/>
      <c r="CF24" s="1518"/>
      <c r="CG24" s="1518"/>
      <c r="CH24" s="1516"/>
      <c r="CI24" s="1522"/>
      <c r="CJ24" s="1520"/>
      <c r="CK24" s="1517"/>
      <c r="CL24" s="1518"/>
      <c r="CM24" s="1518"/>
      <c r="CN24" s="1518"/>
      <c r="CO24" s="1518"/>
      <c r="CP24" s="1518"/>
      <c r="CQ24" s="1518"/>
      <c r="CR24" s="1518"/>
      <c r="CS24" s="1518"/>
      <c r="CT24" s="1518"/>
      <c r="CU24" s="1521"/>
      <c r="CV24" s="1522"/>
      <c r="CW24" s="1520"/>
      <c r="CX24" s="1517"/>
      <c r="CY24" s="1518"/>
      <c r="CZ24" s="1518"/>
      <c r="DA24" s="1518"/>
      <c r="DB24" s="1516"/>
      <c r="DC24" s="1522"/>
      <c r="DD24" s="1520"/>
      <c r="DE24" s="62" t="s">
        <v>643</v>
      </c>
      <c r="DJ24" s="1304" t="s">
        <v>491</v>
      </c>
      <c r="DK24" s="1293"/>
      <c r="DL24" s="1417">
        <f t="shared" si="17"/>
        <v>0</v>
      </c>
      <c r="DM24" s="1438" t="s">
        <v>491</v>
      </c>
      <c r="DN24" s="1293"/>
      <c r="DO24" s="1419">
        <f t="shared" si="16"/>
        <v>0</v>
      </c>
      <c r="DP24" s="1512" t="str">
        <f>DM23</f>
        <v>Seniorbonusordning</v>
      </c>
      <c r="DQ24" s="1293"/>
      <c r="DR24" s="1513">
        <f>SUM(BB106:BN106)</f>
        <v>0</v>
      </c>
      <c r="DS24" s="1421" t="s">
        <v>644</v>
      </c>
      <c r="DT24" s="1421"/>
      <c r="DU24" s="1422">
        <f>SUM(DU8:DU23)</f>
        <v>0</v>
      </c>
      <c r="DV24" s="1423" t="s">
        <v>645</v>
      </c>
      <c r="DW24" s="1423"/>
      <c r="DX24" s="1424">
        <f>SUM(DX8:DX23)</f>
        <v>0</v>
      </c>
      <c r="DY24" s="1425" t="s">
        <v>646</v>
      </c>
      <c r="DZ24" s="1425"/>
      <c r="EA24" s="1426">
        <f>SUM(EA8:EA23)</f>
        <v>0</v>
      </c>
      <c r="EB24" s="1514" t="str">
        <f>DY23</f>
        <v>Seniorbonus</v>
      </c>
      <c r="EC24" s="1293"/>
      <c r="ED24" s="1515">
        <f>SUM(BO106:BZ106)</f>
        <v>0</v>
      </c>
    </row>
    <row r="25" spans="1:141" ht="30" customHeight="1">
      <c r="A25" s="3027" t="s">
        <v>647</v>
      </c>
      <c r="B25" s="3028"/>
      <c r="C25" s="2175"/>
      <c r="D25" s="2176"/>
      <c r="E25" s="2142"/>
      <c r="F25" s="2207"/>
      <c r="G25" s="1525"/>
      <c r="H25" s="1525"/>
      <c r="I25" s="1525"/>
      <c r="J25" s="1525"/>
      <c r="K25" s="1525"/>
      <c r="L25" s="1525"/>
      <c r="M25" s="1525"/>
      <c r="N25" s="1525"/>
      <c r="O25" s="1525"/>
      <c r="P25" s="1525"/>
      <c r="Q25" s="1525"/>
      <c r="R25" s="1525"/>
      <c r="S25" s="1525"/>
      <c r="T25" s="1525"/>
      <c r="U25" s="1523"/>
      <c r="V25" s="1519"/>
      <c r="W25" s="1520"/>
      <c r="X25" s="2227"/>
      <c r="Y25" s="2207"/>
      <c r="Z25" s="1526"/>
      <c r="AA25" s="1524"/>
      <c r="AB25" s="1525"/>
      <c r="AC25" s="1525"/>
      <c r="AD25" s="1525"/>
      <c r="AE25" s="1525"/>
      <c r="AF25" s="1525"/>
      <c r="AG25" s="1525"/>
      <c r="AH25" s="1525"/>
      <c r="AI25" s="1525"/>
      <c r="AJ25" s="1525"/>
      <c r="AK25" s="1525"/>
      <c r="AL25" s="1525"/>
      <c r="AM25" s="1525"/>
      <c r="AN25" s="1525"/>
      <c r="AO25" s="1525"/>
      <c r="AP25" s="1525"/>
      <c r="AQ25" s="1526"/>
      <c r="AR25" s="2227"/>
      <c r="AS25" s="2207"/>
      <c r="AT25" s="2207"/>
      <c r="AU25" s="2260"/>
      <c r="AV25" s="2142"/>
      <c r="AW25" s="2207"/>
      <c r="AX25" s="2207"/>
      <c r="AY25" s="2260"/>
      <c r="AZ25" s="1519"/>
      <c r="BA25" s="1520"/>
      <c r="BB25" s="2227"/>
      <c r="BC25" s="2142"/>
      <c r="BD25" s="1525"/>
      <c r="BE25" s="1525"/>
      <c r="BF25" s="1525"/>
      <c r="BG25" s="1525"/>
      <c r="BH25" s="1525"/>
      <c r="BI25" s="1525"/>
      <c r="BJ25" s="1525"/>
      <c r="BK25" s="1525"/>
      <c r="BL25" s="1523"/>
      <c r="BM25" s="1522"/>
      <c r="BN25" s="1520"/>
      <c r="BO25" s="1524"/>
      <c r="BP25" s="1525"/>
      <c r="BQ25" s="1525"/>
      <c r="BR25" s="1525"/>
      <c r="BS25" s="1525"/>
      <c r="BT25" s="1525"/>
      <c r="BU25" s="1525"/>
      <c r="BV25" s="1525"/>
      <c r="BW25" s="1525"/>
      <c r="BX25" s="1523"/>
      <c r="BY25" s="1522"/>
      <c r="BZ25" s="1520"/>
      <c r="CA25" s="1524"/>
      <c r="CB25" s="1525"/>
      <c r="CC25" s="1525"/>
      <c r="CD25" s="1525"/>
      <c r="CE25" s="1525"/>
      <c r="CF25" s="1525"/>
      <c r="CG25" s="1525"/>
      <c r="CH25" s="1523"/>
      <c r="CI25" s="1522"/>
      <c r="CJ25" s="1520"/>
      <c r="CK25" s="1524"/>
      <c r="CL25" s="1525"/>
      <c r="CM25" s="1525"/>
      <c r="CN25" s="1525"/>
      <c r="CO25" s="1525"/>
      <c r="CP25" s="1525"/>
      <c r="CQ25" s="1525"/>
      <c r="CR25" s="1525"/>
      <c r="CS25" s="1525"/>
      <c r="CT25" s="1525"/>
      <c r="CU25" s="1526"/>
      <c r="CV25" s="1522"/>
      <c r="CW25" s="1520"/>
      <c r="CX25" s="1524"/>
      <c r="CY25" s="1525"/>
      <c r="CZ25" s="1525"/>
      <c r="DA25" s="1525"/>
      <c r="DB25" s="1525"/>
      <c r="DC25" s="1522"/>
      <c r="DD25" s="1520"/>
      <c r="DJ25" s="1304" t="s">
        <v>67</v>
      </c>
      <c r="DK25" s="1293"/>
      <c r="DL25" s="1417">
        <f t="shared" si="17"/>
        <v>0</v>
      </c>
      <c r="DM25" s="1438" t="s">
        <v>67</v>
      </c>
      <c r="DN25" s="1293"/>
      <c r="DO25" s="1419">
        <f t="shared" si="16"/>
        <v>0</v>
      </c>
      <c r="DP25" s="1315" t="s">
        <v>648</v>
      </c>
      <c r="DQ25" s="1315"/>
      <c r="DR25" s="1420">
        <f>SUM(DR8:DR24)</f>
        <v>0</v>
      </c>
      <c r="DS25" s="1421" t="s">
        <v>513</v>
      </c>
      <c r="DT25" s="1421"/>
      <c r="DU25" s="1422">
        <f>CJ56+CJ84-DU24+SUM(CI81:CJ81)</f>
        <v>0</v>
      </c>
      <c r="DV25" s="1423" t="s">
        <v>513</v>
      </c>
      <c r="DW25" s="1423"/>
      <c r="DX25" s="1424">
        <f>CW56+CW84-DX24+SUM(CV81:CW81)</f>
        <v>0</v>
      </c>
      <c r="DY25" s="1425" t="s">
        <v>513</v>
      </c>
      <c r="DZ25" s="1425"/>
      <c r="EA25" s="1426">
        <f>DD56+DD84-EA24+SUM(DC81:DD81)</f>
        <v>0</v>
      </c>
      <c r="EB25" s="1427" t="s">
        <v>649</v>
      </c>
      <c r="EC25" s="1427"/>
      <c r="ED25" s="1428">
        <f>SUM(ED8:ED23)</f>
        <v>0</v>
      </c>
    </row>
    <row r="26" spans="1:141" ht="24" customHeight="1">
      <c r="A26" s="3029" t="s">
        <v>650</v>
      </c>
      <c r="B26" s="3030"/>
      <c r="C26" s="2177">
        <f t="shared" ref="C26:U26" si="18">IF(C8&gt;0,ROUND((ROUND(VLOOKUP(C8,skalalontabel,C23,0)*C22,0))/12,2),0)</f>
        <v>0</v>
      </c>
      <c r="D26" s="2178">
        <f t="shared" si="18"/>
        <v>0</v>
      </c>
      <c r="E26" s="2143">
        <f t="shared" si="18"/>
        <v>0</v>
      </c>
      <c r="F26" s="2208">
        <f t="shared" ref="F26" si="19">IF(F8&gt;0,ROUND((ROUND(VLOOKUP(F8,skalalontabel,F23,0)*F22,0))/12,2),0)</f>
        <v>0</v>
      </c>
      <c r="G26" s="1530">
        <f t="shared" si="18"/>
        <v>0</v>
      </c>
      <c r="H26" s="1530">
        <f t="shared" si="18"/>
        <v>0</v>
      </c>
      <c r="I26" s="1530">
        <f t="shared" ref="I26" si="20">IF(I8&gt;0,ROUND((ROUND(VLOOKUP(I8,skalalontabel,I23,0)*I22,0))/12,2),0)</f>
        <v>0</v>
      </c>
      <c r="J26" s="1530">
        <f t="shared" si="18"/>
        <v>0</v>
      </c>
      <c r="K26" s="1530">
        <f t="shared" si="18"/>
        <v>0</v>
      </c>
      <c r="L26" s="1530">
        <f t="shared" si="18"/>
        <v>0</v>
      </c>
      <c r="M26" s="1530">
        <f t="shared" si="18"/>
        <v>0</v>
      </c>
      <c r="N26" s="1530">
        <f t="shared" si="18"/>
        <v>0</v>
      </c>
      <c r="O26" s="1530">
        <f t="shared" si="18"/>
        <v>0</v>
      </c>
      <c r="P26" s="1530">
        <f t="shared" si="18"/>
        <v>0</v>
      </c>
      <c r="Q26" s="1530">
        <f t="shared" si="18"/>
        <v>0</v>
      </c>
      <c r="R26" s="1530">
        <f t="shared" si="18"/>
        <v>0</v>
      </c>
      <c r="S26" s="1530">
        <f t="shared" si="18"/>
        <v>0</v>
      </c>
      <c r="T26" s="1530">
        <f t="shared" si="18"/>
        <v>0</v>
      </c>
      <c r="U26" s="1528">
        <f t="shared" si="18"/>
        <v>0</v>
      </c>
      <c r="V26" s="1527">
        <f>IF(V8&gt;0,ROUND((ROUND(VLOOKUP(V8,skalalontabel,V23,0)*V22,0))/12,2),V9*V22*V10)</f>
        <v>0</v>
      </c>
      <c r="W26" s="1528">
        <f>IF(W8&gt;0,ROUND((ROUND(VLOOKUP(W8,skalalontabel,W23,0)*W22,0))/12,2),W9*W22*W10)</f>
        <v>0</v>
      </c>
      <c r="X26" s="2095">
        <f t="shared" ref="X26:AJ26" si="21">IF(X8&gt;0,ROUND((ROUND(VLOOKUP(X8,skalalontabel,X23,0)*X22,0))/12,2),0)</f>
        <v>0</v>
      </c>
      <c r="Y26" s="2208">
        <f t="shared" ref="Y26" si="22">IF(Y8&gt;0,ROUND((ROUND(VLOOKUP(Y8,skalalontabel,Y23,0)*Y22,0))/12,2),0)</f>
        <v>0</v>
      </c>
      <c r="Z26" s="1531">
        <f t="shared" si="21"/>
        <v>0</v>
      </c>
      <c r="AA26" s="1529">
        <f t="shared" si="21"/>
        <v>0</v>
      </c>
      <c r="AB26" s="1530">
        <f t="shared" si="21"/>
        <v>0</v>
      </c>
      <c r="AC26" s="1530">
        <f t="shared" si="21"/>
        <v>0</v>
      </c>
      <c r="AD26" s="1530">
        <f t="shared" si="21"/>
        <v>0</v>
      </c>
      <c r="AE26" s="1530">
        <f t="shared" ref="AE26" si="23">IF(AE8&gt;0,ROUND((ROUND(VLOOKUP(AE8,skalalontabel,AE23,0)*AE22,0))/12,2),0)</f>
        <v>0</v>
      </c>
      <c r="AF26" s="1530">
        <f t="shared" si="21"/>
        <v>0</v>
      </c>
      <c r="AG26" s="1530">
        <f t="shared" si="21"/>
        <v>0</v>
      </c>
      <c r="AH26" s="1530">
        <f t="shared" si="21"/>
        <v>0</v>
      </c>
      <c r="AI26" s="1530">
        <f t="shared" si="21"/>
        <v>0</v>
      </c>
      <c r="AJ26" s="1530">
        <f t="shared" si="21"/>
        <v>0</v>
      </c>
      <c r="AK26" s="1530">
        <f t="shared" ref="AK26:AN26" si="24">IF(AK8&gt;0,ROUND((ROUND(VLOOKUP(AK8,skalalontabel,AK23,0)*AK22,0))/12,2),0)</f>
        <v>0</v>
      </c>
      <c r="AL26" s="1530">
        <f t="shared" si="24"/>
        <v>0</v>
      </c>
      <c r="AM26" s="1530">
        <f t="shared" si="24"/>
        <v>0</v>
      </c>
      <c r="AN26" s="1530">
        <f t="shared" si="24"/>
        <v>0</v>
      </c>
      <c r="AO26" s="1530">
        <f t="shared" ref="AO26:AQ26" si="25">IF(AO8&gt;0,ROUND((ROUND(VLOOKUP(AO8,skalalontabel,AO23,0)*AO22,0))/12,2),0)</f>
        <v>0</v>
      </c>
      <c r="AP26" s="1530">
        <f t="shared" si="25"/>
        <v>0</v>
      </c>
      <c r="AQ26" s="1531">
        <f t="shared" si="25"/>
        <v>0</v>
      </c>
      <c r="AR26" s="2095">
        <f>IF(AR8&gt;0,AR8*AR22*AR24,0)</f>
        <v>0</v>
      </c>
      <c r="AS26" s="2208">
        <f t="shared" ref="AS26:AU26" si="26">IF(AS8&gt;0,AS8*AS22*AS24,0)</f>
        <v>0</v>
      </c>
      <c r="AT26" s="2208">
        <f t="shared" si="26"/>
        <v>0</v>
      </c>
      <c r="AU26" s="2261">
        <f t="shared" si="26"/>
        <v>0</v>
      </c>
      <c r="AV26" s="1530">
        <f t="shared" ref="AV26:AY26" si="27">IF(AV8&gt;0,ROUND((ROUND(VLOOKUP(AV8,skalalontabel,AV23,0)*AV22,0))/12,2),0)</f>
        <v>0</v>
      </c>
      <c r="AW26" s="1530">
        <f t="shared" si="27"/>
        <v>0</v>
      </c>
      <c r="AX26" s="1530">
        <f t="shared" si="27"/>
        <v>0</v>
      </c>
      <c r="AY26" s="1531">
        <f t="shared" si="27"/>
        <v>0</v>
      </c>
      <c r="AZ26" s="1527">
        <f>IF(AZ8&gt;0,ROUND((ROUND(VLOOKUP(AZ8,skalalontabel,AZ23,0)*AZ22,0))/12,2),AZ9*AZ22*AZ10)</f>
        <v>0</v>
      </c>
      <c r="BA26" s="1528">
        <f>IF(BA8&gt;0,ROUND((ROUND(VLOOKUP(BA8,skalalontabel,BA23,0)*BA22,0))/12,2),BA9*BA22*BA10)</f>
        <v>0</v>
      </c>
      <c r="BB26" s="2095">
        <f t="shared" ref="BB26:BL26" si="28">IF(BB8&gt;0,ROUND((ROUND(VLOOKUP(BB8,skalalontabel,BB23,0)*BB22,0))/12,2),0)</f>
        <v>0</v>
      </c>
      <c r="BC26" s="2143">
        <f t="shared" ref="BC26" si="29">IF(BC8&gt;0,ROUND((ROUND(VLOOKUP(BC8,skalalontabel,BC23,0)*BC22,0))/12,2),0)</f>
        <v>0</v>
      </c>
      <c r="BD26" s="1530">
        <f t="shared" si="28"/>
        <v>0</v>
      </c>
      <c r="BE26" s="1530">
        <f t="shared" si="28"/>
        <v>0</v>
      </c>
      <c r="BF26" s="1530">
        <f t="shared" si="28"/>
        <v>0</v>
      </c>
      <c r="BG26" s="1530">
        <f t="shared" si="28"/>
        <v>0</v>
      </c>
      <c r="BH26" s="1530">
        <f t="shared" si="28"/>
        <v>0</v>
      </c>
      <c r="BI26" s="1530">
        <f t="shared" si="28"/>
        <v>0</v>
      </c>
      <c r="BJ26" s="1530">
        <f t="shared" si="28"/>
        <v>0</v>
      </c>
      <c r="BK26" s="1530">
        <f t="shared" si="28"/>
        <v>0</v>
      </c>
      <c r="BL26" s="1528">
        <f t="shared" si="28"/>
        <v>0</v>
      </c>
      <c r="BM26" s="1529">
        <f>IF(BM8&gt;0,ROUND((ROUND(VLOOKUP(BM8,skalalontabel,BM23,0)*BM22,0))/12,2),BM9*BM22*BM10)</f>
        <v>0</v>
      </c>
      <c r="BN26" s="1528">
        <f>IF(BN8&gt;0,ROUND((ROUND(VLOOKUP(BN8,skalalontabel,BN23,0)*BN22,0))/12,2),BN9*BN22*BN10)</f>
        <v>0</v>
      </c>
      <c r="BO26" s="1529">
        <f t="shared" ref="BO26:BX26" si="30">IF(BO8&gt;0,ROUND((ROUND(VLOOKUP(BO8,skalalontabel,BO23,0)*BO22,0))/12,2),0)</f>
        <v>0</v>
      </c>
      <c r="BP26" s="1530">
        <f t="shared" si="30"/>
        <v>0</v>
      </c>
      <c r="BQ26" s="1530">
        <f t="shared" si="30"/>
        <v>0</v>
      </c>
      <c r="BR26" s="1530">
        <f t="shared" si="30"/>
        <v>0</v>
      </c>
      <c r="BS26" s="1530">
        <f t="shared" si="30"/>
        <v>0</v>
      </c>
      <c r="BT26" s="1530">
        <f t="shared" si="30"/>
        <v>0</v>
      </c>
      <c r="BU26" s="1530">
        <f t="shared" si="30"/>
        <v>0</v>
      </c>
      <c r="BV26" s="1530">
        <f t="shared" si="30"/>
        <v>0</v>
      </c>
      <c r="BW26" s="1530">
        <f t="shared" si="30"/>
        <v>0</v>
      </c>
      <c r="BX26" s="1528">
        <f t="shared" si="30"/>
        <v>0</v>
      </c>
      <c r="BY26" s="1529">
        <f>IF(BY8&gt;0,ROUND((ROUND(VLOOKUP(BY8,skalalontabel,BY23,0)*BY22,0))/12,2),BY9*BY22*BY10)</f>
        <v>0</v>
      </c>
      <c r="BZ26" s="1528">
        <f>IF(BZ8&gt;0,ROUND((ROUND(VLOOKUP(BZ8,skalalontabel,BZ23,0)*BZ22,0))/12,2),BZ9*BZ22*BZ10)</f>
        <v>0</v>
      </c>
      <c r="CA26" s="1529">
        <f t="shared" ref="CA26:CH26" si="31">IF(CA8&gt;0,ROUND((ROUND(VLOOKUP(CA8,skalalontabel,CA23,0)*CA22,0))/12,2),0)</f>
        <v>0</v>
      </c>
      <c r="CB26" s="1530">
        <f t="shared" si="31"/>
        <v>0</v>
      </c>
      <c r="CC26" s="1530">
        <f t="shared" si="31"/>
        <v>0</v>
      </c>
      <c r="CD26" s="1530">
        <f t="shared" si="31"/>
        <v>0</v>
      </c>
      <c r="CE26" s="1530">
        <f t="shared" si="31"/>
        <v>0</v>
      </c>
      <c r="CF26" s="1530">
        <f t="shared" si="31"/>
        <v>0</v>
      </c>
      <c r="CG26" s="1530">
        <f t="shared" si="31"/>
        <v>0</v>
      </c>
      <c r="CH26" s="1528">
        <f t="shared" si="31"/>
        <v>0</v>
      </c>
      <c r="CI26" s="1529">
        <f>IF(CI8&gt;0,ROUND((ROUND(VLOOKUP(CI8,skalalontabel,CI23,0)*CI22,0))/12,2),CI9*CI22*CI10)</f>
        <v>0</v>
      </c>
      <c r="CJ26" s="1528">
        <f>IF(CJ8&gt;0,ROUND((ROUND(VLOOKUP(CJ8,skalalontabel,CJ23,0)*CJ22,0))/12,2),CJ9*CJ22*CJ10)</f>
        <v>0</v>
      </c>
      <c r="CK26" s="1529">
        <f t="shared" ref="CK26:CU26" si="32">IF(CK8&gt;0,ROUND((ROUND(VLOOKUP(CK8,skalalontabel,CK23,0)*CK22,0))/12,2),0)</f>
        <v>0</v>
      </c>
      <c r="CL26" s="1530">
        <f t="shared" si="32"/>
        <v>0</v>
      </c>
      <c r="CM26" s="1530">
        <f t="shared" si="32"/>
        <v>0</v>
      </c>
      <c r="CN26" s="1530">
        <f t="shared" si="32"/>
        <v>0</v>
      </c>
      <c r="CO26" s="1530">
        <f t="shared" si="32"/>
        <v>0</v>
      </c>
      <c r="CP26" s="1530">
        <f t="shared" si="32"/>
        <v>0</v>
      </c>
      <c r="CQ26" s="1530">
        <f t="shared" si="32"/>
        <v>0</v>
      </c>
      <c r="CR26" s="1530">
        <f t="shared" si="32"/>
        <v>0</v>
      </c>
      <c r="CS26" s="1530">
        <f t="shared" si="32"/>
        <v>0</v>
      </c>
      <c r="CT26" s="1530">
        <f t="shared" si="32"/>
        <v>0</v>
      </c>
      <c r="CU26" s="1531">
        <f t="shared" si="32"/>
        <v>0</v>
      </c>
      <c r="CV26" s="1529">
        <f>IF(CV8&gt;0,ROUND((ROUND(VLOOKUP(CV8,skalalontabel,CV23,0)*CV22,0))/12,2),CV9*CV22*CV10)</f>
        <v>0</v>
      </c>
      <c r="CW26" s="1528">
        <f>IF(CW8&gt;0,ROUND((ROUND(VLOOKUP(CW8,skalalontabel,CW23,0)*CW22,0))/12,2),CW9*CW22*CW10)</f>
        <v>0</v>
      </c>
      <c r="CX26" s="1529">
        <f>IF(CX8&gt;0,ROUND((ROUND(VLOOKUP(CX8,skalalontabel,CX23,0)*CX22,0))/12,2),0)</f>
        <v>0</v>
      </c>
      <c r="CY26" s="1530">
        <f>IF(CY8&gt;0,ROUND((ROUND(VLOOKUP(CY8,skalalontabel,CY23,0)*CY22,0))/12,2),0)</f>
        <v>0</v>
      </c>
      <c r="CZ26" s="1530">
        <f>IF(CZ8&gt;0,ROUND((ROUND(VLOOKUP(CZ8,skalalontabel,CZ23,0)*CZ22,0))/12,2),0)</f>
        <v>0</v>
      </c>
      <c r="DA26" s="1530">
        <f>IF(DA8&gt;0,ROUND((ROUND(VLOOKUP(DA8,skalalontabel,DA23,0)*DA22,0))/12,2),0)</f>
        <v>0</v>
      </c>
      <c r="DB26" s="1528">
        <f>IF(DB8&gt;0,ROUND((ROUND(VLOOKUP(DB8,skalalontabel,DB23,0)*DB22,0))/12,2),0)</f>
        <v>0</v>
      </c>
      <c r="DC26" s="1529">
        <f>IF(DC8&gt;0,ROUND((ROUND(VLOOKUP(DC8,skalalontabel,DC23,0)*DC22,0))/12,2),DC9*DC22*DC10)</f>
        <v>0</v>
      </c>
      <c r="DD26" s="1528">
        <f>IF(DD8&gt;0,ROUND((ROUND(VLOOKUP(DD8,skalalontabel,DD23,0)*DD22,0))/12,2),DD9*DD22*DD10)</f>
        <v>0</v>
      </c>
      <c r="DE26" s="62" t="s">
        <v>651</v>
      </c>
      <c r="DJ26" s="1304" t="s">
        <v>565</v>
      </c>
      <c r="DK26" s="1293"/>
      <c r="DL26" s="1417">
        <f t="shared" si="17"/>
        <v>0</v>
      </c>
      <c r="DM26" s="1438" t="str">
        <f>DJ26</f>
        <v>Diæter</v>
      </c>
      <c r="DN26" s="1293"/>
      <c r="DO26" s="1419">
        <f t="shared" si="16"/>
        <v>0</v>
      </c>
      <c r="DP26" s="1315" t="s">
        <v>513</v>
      </c>
      <c r="DQ26" s="1315"/>
      <c r="DR26" s="1420">
        <f>BN56+BN84-DR25+SUM(BM81:BN81)</f>
        <v>0</v>
      </c>
      <c r="DS26" s="667"/>
      <c r="DT26" s="667"/>
      <c r="DU26" s="668"/>
      <c r="DV26" s="667"/>
      <c r="DW26" s="667"/>
      <c r="DX26" s="668"/>
      <c r="DY26" s="667"/>
      <c r="DZ26" s="667"/>
      <c r="EA26" s="668"/>
      <c r="EB26" s="1427" t="s">
        <v>513</v>
      </c>
      <c r="EC26" s="1427"/>
      <c r="ED26" s="1428">
        <f>BZ56+BY81+BZ81+BZ84-ED25</f>
        <v>0</v>
      </c>
    </row>
    <row r="27" spans="1:141" ht="24" customHeight="1">
      <c r="A27" s="3029" t="s">
        <v>652</v>
      </c>
      <c r="B27" s="3030"/>
      <c r="C27" s="2177">
        <f t="shared" ref="C27:DB27" si="33">ROUND(C$26*C$24,2)</f>
        <v>0</v>
      </c>
      <c r="D27" s="2178">
        <f t="shared" si="33"/>
        <v>0</v>
      </c>
      <c r="E27" s="2143">
        <f t="shared" si="33"/>
        <v>0</v>
      </c>
      <c r="F27" s="2208">
        <f t="shared" si="33"/>
        <v>0</v>
      </c>
      <c r="G27" s="1530">
        <f t="shared" si="33"/>
        <v>0</v>
      </c>
      <c r="H27" s="1530">
        <f t="shared" si="33"/>
        <v>0</v>
      </c>
      <c r="I27" s="1530">
        <f t="shared" si="33"/>
        <v>0</v>
      </c>
      <c r="J27" s="1530">
        <f t="shared" si="33"/>
        <v>0</v>
      </c>
      <c r="K27" s="1530">
        <f t="shared" si="33"/>
        <v>0</v>
      </c>
      <c r="L27" s="1530">
        <f t="shared" si="33"/>
        <v>0</v>
      </c>
      <c r="M27" s="1530">
        <f t="shared" si="33"/>
        <v>0</v>
      </c>
      <c r="N27" s="1530">
        <f t="shared" si="33"/>
        <v>0</v>
      </c>
      <c r="O27" s="1530">
        <f t="shared" si="33"/>
        <v>0</v>
      </c>
      <c r="P27" s="1530">
        <f t="shared" si="33"/>
        <v>0</v>
      </c>
      <c r="Q27" s="1530">
        <f t="shared" si="33"/>
        <v>0</v>
      </c>
      <c r="R27" s="1530">
        <f t="shared" si="33"/>
        <v>0</v>
      </c>
      <c r="S27" s="1530">
        <f t="shared" si="33"/>
        <v>0</v>
      </c>
      <c r="T27" s="1530">
        <f t="shared" si="33"/>
        <v>0</v>
      </c>
      <c r="U27" s="1528">
        <f t="shared" si="33"/>
        <v>0</v>
      </c>
      <c r="V27" s="1490"/>
      <c r="W27" s="1491"/>
      <c r="X27" s="2095">
        <f t="shared" si="33"/>
        <v>0</v>
      </c>
      <c r="Y27" s="2208">
        <f t="shared" si="33"/>
        <v>0</v>
      </c>
      <c r="Z27" s="2261">
        <f t="shared" si="33"/>
        <v>0</v>
      </c>
      <c r="AA27" s="2143">
        <f t="shared" si="33"/>
        <v>0</v>
      </c>
      <c r="AB27" s="1530">
        <f t="shared" si="33"/>
        <v>0</v>
      </c>
      <c r="AC27" s="1530">
        <f t="shared" si="33"/>
        <v>0</v>
      </c>
      <c r="AD27" s="1530">
        <f t="shared" si="33"/>
        <v>0</v>
      </c>
      <c r="AE27" s="1530">
        <f t="shared" si="33"/>
        <v>0</v>
      </c>
      <c r="AF27" s="1530">
        <f t="shared" si="33"/>
        <v>0</v>
      </c>
      <c r="AG27" s="1530">
        <f t="shared" si="33"/>
        <v>0</v>
      </c>
      <c r="AH27" s="1530">
        <f t="shared" si="33"/>
        <v>0</v>
      </c>
      <c r="AI27" s="1530">
        <f t="shared" si="33"/>
        <v>0</v>
      </c>
      <c r="AJ27" s="1530">
        <f t="shared" si="33"/>
        <v>0</v>
      </c>
      <c r="AK27" s="1530">
        <f t="shared" si="33"/>
        <v>0</v>
      </c>
      <c r="AL27" s="1530">
        <f t="shared" si="33"/>
        <v>0</v>
      </c>
      <c r="AM27" s="1530">
        <f t="shared" si="33"/>
        <v>0</v>
      </c>
      <c r="AN27" s="1530">
        <f t="shared" si="33"/>
        <v>0</v>
      </c>
      <c r="AO27" s="1530">
        <f t="shared" si="33"/>
        <v>0</v>
      </c>
      <c r="AP27" s="1530">
        <f t="shared" si="33"/>
        <v>0</v>
      </c>
      <c r="AQ27" s="1531">
        <f t="shared" si="33"/>
        <v>0</v>
      </c>
      <c r="AR27" s="2095">
        <f t="shared" si="33"/>
        <v>0</v>
      </c>
      <c r="AS27" s="2208">
        <f t="shared" si="33"/>
        <v>0</v>
      </c>
      <c r="AT27" s="2208">
        <f t="shared" si="33"/>
        <v>0</v>
      </c>
      <c r="AU27" s="2261">
        <f t="shared" si="33"/>
        <v>0</v>
      </c>
      <c r="AV27" s="2143">
        <f t="shared" si="33"/>
        <v>0</v>
      </c>
      <c r="AW27" s="2208">
        <f t="shared" si="33"/>
        <v>0</v>
      </c>
      <c r="AX27" s="2208">
        <f t="shared" si="33"/>
        <v>0</v>
      </c>
      <c r="AY27" s="2261">
        <f t="shared" si="33"/>
        <v>0</v>
      </c>
      <c r="AZ27" s="1490"/>
      <c r="BA27" s="1491"/>
      <c r="BB27" s="2095">
        <f t="shared" si="33"/>
        <v>0</v>
      </c>
      <c r="BC27" s="2143">
        <f t="shared" si="33"/>
        <v>0</v>
      </c>
      <c r="BD27" s="1530">
        <f t="shared" si="33"/>
        <v>0</v>
      </c>
      <c r="BE27" s="1530">
        <f t="shared" si="33"/>
        <v>0</v>
      </c>
      <c r="BF27" s="1530">
        <f t="shared" si="33"/>
        <v>0</v>
      </c>
      <c r="BG27" s="1530">
        <f t="shared" si="33"/>
        <v>0</v>
      </c>
      <c r="BH27" s="1530">
        <f t="shared" si="33"/>
        <v>0</v>
      </c>
      <c r="BI27" s="1530">
        <f t="shared" si="33"/>
        <v>0</v>
      </c>
      <c r="BJ27" s="1530">
        <f t="shared" si="33"/>
        <v>0</v>
      </c>
      <c r="BK27" s="1530">
        <f t="shared" si="33"/>
        <v>0</v>
      </c>
      <c r="BL27" s="1528">
        <f t="shared" si="33"/>
        <v>0</v>
      </c>
      <c r="BM27" s="1532"/>
      <c r="BN27" s="1491"/>
      <c r="BO27" s="1529">
        <f t="shared" si="33"/>
        <v>0</v>
      </c>
      <c r="BP27" s="1530">
        <f t="shared" si="33"/>
        <v>0</v>
      </c>
      <c r="BQ27" s="1530">
        <f t="shared" si="33"/>
        <v>0</v>
      </c>
      <c r="BR27" s="1530">
        <f t="shared" si="33"/>
        <v>0</v>
      </c>
      <c r="BS27" s="1530">
        <f t="shared" si="33"/>
        <v>0</v>
      </c>
      <c r="BT27" s="1530">
        <f t="shared" si="33"/>
        <v>0</v>
      </c>
      <c r="BU27" s="1530">
        <f t="shared" si="33"/>
        <v>0</v>
      </c>
      <c r="BV27" s="1530">
        <f t="shared" si="33"/>
        <v>0</v>
      </c>
      <c r="BW27" s="1530">
        <f t="shared" si="33"/>
        <v>0</v>
      </c>
      <c r="BX27" s="1528">
        <f t="shared" si="33"/>
        <v>0</v>
      </c>
      <c r="BY27" s="1532"/>
      <c r="BZ27" s="1491"/>
      <c r="CA27" s="1529">
        <f t="shared" si="33"/>
        <v>0</v>
      </c>
      <c r="CB27" s="1530">
        <f t="shared" si="33"/>
        <v>0</v>
      </c>
      <c r="CC27" s="1530">
        <f t="shared" si="33"/>
        <v>0</v>
      </c>
      <c r="CD27" s="1530">
        <f t="shared" si="33"/>
        <v>0</v>
      </c>
      <c r="CE27" s="1530">
        <f t="shared" si="33"/>
        <v>0</v>
      </c>
      <c r="CF27" s="1530">
        <f t="shared" si="33"/>
        <v>0</v>
      </c>
      <c r="CG27" s="1530">
        <f t="shared" si="33"/>
        <v>0</v>
      </c>
      <c r="CH27" s="1528">
        <f t="shared" si="33"/>
        <v>0</v>
      </c>
      <c r="CI27" s="1532"/>
      <c r="CJ27" s="1491"/>
      <c r="CK27" s="1529">
        <f t="shared" si="33"/>
        <v>0</v>
      </c>
      <c r="CL27" s="1530">
        <f t="shared" si="33"/>
        <v>0</v>
      </c>
      <c r="CM27" s="1530">
        <f t="shared" si="33"/>
        <v>0</v>
      </c>
      <c r="CN27" s="1530">
        <f t="shared" si="33"/>
        <v>0</v>
      </c>
      <c r="CO27" s="1530">
        <f t="shared" si="33"/>
        <v>0</v>
      </c>
      <c r="CP27" s="1530">
        <f t="shared" si="33"/>
        <v>0</v>
      </c>
      <c r="CQ27" s="1530">
        <f t="shared" si="33"/>
        <v>0</v>
      </c>
      <c r="CR27" s="1530">
        <f t="shared" si="33"/>
        <v>0</v>
      </c>
      <c r="CS27" s="1530">
        <f t="shared" si="33"/>
        <v>0</v>
      </c>
      <c r="CT27" s="1530">
        <f t="shared" si="33"/>
        <v>0</v>
      </c>
      <c r="CU27" s="1528">
        <f t="shared" si="33"/>
        <v>0</v>
      </c>
      <c r="CV27" s="1532"/>
      <c r="CW27" s="1491"/>
      <c r="CX27" s="1529">
        <f t="shared" si="33"/>
        <v>0</v>
      </c>
      <c r="CY27" s="1530">
        <f t="shared" si="33"/>
        <v>0</v>
      </c>
      <c r="CZ27" s="1530">
        <f t="shared" si="33"/>
        <v>0</v>
      </c>
      <c r="DA27" s="1530">
        <f t="shared" si="33"/>
        <v>0</v>
      </c>
      <c r="DB27" s="1528">
        <f t="shared" si="33"/>
        <v>0</v>
      </c>
      <c r="DC27" s="1532"/>
      <c r="DD27" s="1491"/>
      <c r="DJ27" s="1304" t="s">
        <v>503</v>
      </c>
      <c r="DK27" s="1293"/>
      <c r="DL27" s="1417">
        <f t="shared" si="17"/>
        <v>0</v>
      </c>
      <c r="DM27" s="1438" t="s">
        <v>503</v>
      </c>
      <c r="DN27" s="1293"/>
      <c r="DO27" s="1419">
        <f t="shared" si="16"/>
        <v>0</v>
      </c>
      <c r="DP27" s="667"/>
      <c r="DQ27" s="667"/>
      <c r="DR27" s="668"/>
      <c r="EB27" s="328"/>
      <c r="EC27" s="328"/>
      <c r="ED27" s="328"/>
    </row>
    <row r="28" spans="1:141" ht="20" customHeight="1">
      <c r="A28" s="3060" t="s">
        <v>1470</v>
      </c>
      <c r="B28" s="3061"/>
      <c r="C28" s="2179"/>
      <c r="D28" s="2180"/>
      <c r="E28" s="2143">
        <f>IF(AND(E11&gt;0,E7="Pædagog"),2000*E22*E24/12,0)+IF(AND(E11&gt;0,E7="pædagogisk assistent"),5500*E22*E24/12,0)+IF(AND(E11&gt;0,E7="pædagogmedhjælper"),4000*E22*E24/12,0)</f>
        <v>0</v>
      </c>
      <c r="F28" s="2143">
        <f t="shared" ref="F28:U28" si="34">IF(AND(F11&gt;0,F7="Pædagog"),2000*F22*F24/12,0)+IF(AND(F11&gt;0,F7="pædagogisk assistent"),5500*F22*F24/12,0)+IF(AND(F11&gt;0,F7="pædagogmedhjælper"),4000*F22*F24/12,0)</f>
        <v>0</v>
      </c>
      <c r="G28" s="2143">
        <f t="shared" si="34"/>
        <v>0</v>
      </c>
      <c r="H28" s="2143">
        <f t="shared" si="34"/>
        <v>0</v>
      </c>
      <c r="I28" s="2143">
        <f t="shared" si="34"/>
        <v>0</v>
      </c>
      <c r="J28" s="2143">
        <f t="shared" si="34"/>
        <v>0</v>
      </c>
      <c r="K28" s="2143">
        <f t="shared" si="34"/>
        <v>0</v>
      </c>
      <c r="L28" s="2143">
        <f t="shared" si="34"/>
        <v>0</v>
      </c>
      <c r="M28" s="2143">
        <f t="shared" si="34"/>
        <v>0</v>
      </c>
      <c r="N28" s="2143">
        <f t="shared" si="34"/>
        <v>0</v>
      </c>
      <c r="O28" s="2143">
        <f t="shared" si="34"/>
        <v>0</v>
      </c>
      <c r="P28" s="2143">
        <f t="shared" si="34"/>
        <v>0</v>
      </c>
      <c r="Q28" s="2143">
        <f t="shared" si="34"/>
        <v>0</v>
      </c>
      <c r="R28" s="2143">
        <f t="shared" si="34"/>
        <v>0</v>
      </c>
      <c r="S28" s="2143">
        <f t="shared" si="34"/>
        <v>0</v>
      </c>
      <c r="T28" s="2143">
        <f t="shared" si="34"/>
        <v>0</v>
      </c>
      <c r="U28" s="2143">
        <f t="shared" si="34"/>
        <v>0</v>
      </c>
      <c r="V28" s="1490"/>
      <c r="W28" s="1491"/>
      <c r="X28" s="2228"/>
      <c r="Y28" s="2209"/>
      <c r="Z28" s="2462"/>
      <c r="AA28" s="2143">
        <f t="shared" ref="AA28:AQ28" si="35">IF(AND(AA11&gt;0,AA7="Pædagog"),2000*AA22*AA24/12,0)+IF(AND(AA11&gt;0,AA7="pædagogisk assistent"),5500*AA22*AA24/12,0)+IF(AND(AA11&gt;0,AA7="pædagogmedhjælper"),4000*AA22*AA24/12,0)</f>
        <v>0</v>
      </c>
      <c r="AB28" s="2143">
        <f t="shared" si="35"/>
        <v>0</v>
      </c>
      <c r="AC28" s="2143">
        <f t="shared" si="35"/>
        <v>0</v>
      </c>
      <c r="AD28" s="2143">
        <f t="shared" si="35"/>
        <v>0</v>
      </c>
      <c r="AE28" s="2143">
        <f t="shared" si="35"/>
        <v>0</v>
      </c>
      <c r="AF28" s="2143">
        <f t="shared" si="35"/>
        <v>0</v>
      </c>
      <c r="AG28" s="2143">
        <f t="shared" si="35"/>
        <v>0</v>
      </c>
      <c r="AH28" s="2143">
        <f t="shared" si="35"/>
        <v>0</v>
      </c>
      <c r="AI28" s="2143">
        <f t="shared" si="35"/>
        <v>0</v>
      </c>
      <c r="AJ28" s="2143">
        <f t="shared" si="35"/>
        <v>0</v>
      </c>
      <c r="AK28" s="2143">
        <f t="shared" si="35"/>
        <v>0</v>
      </c>
      <c r="AL28" s="2143">
        <f t="shared" si="35"/>
        <v>0</v>
      </c>
      <c r="AM28" s="2143">
        <f t="shared" si="35"/>
        <v>0</v>
      </c>
      <c r="AN28" s="2143">
        <f t="shared" si="35"/>
        <v>0</v>
      </c>
      <c r="AO28" s="2143">
        <f t="shared" si="35"/>
        <v>0</v>
      </c>
      <c r="AP28" s="2143">
        <f t="shared" si="35"/>
        <v>0</v>
      </c>
      <c r="AQ28" s="2143">
        <f t="shared" si="35"/>
        <v>0</v>
      </c>
      <c r="AR28" s="2250"/>
      <c r="AS28" s="2251"/>
      <c r="AT28" s="2251"/>
      <c r="AU28" s="2252"/>
      <c r="AV28" s="2143">
        <f t="shared" ref="AV28:AY28" si="36">IF(AND(AV11&gt;0,AV7="Pædagog"),2000*AV22*AV24/12,0)+IF(AND(AV11&gt;0,AV7="pædagogisk assistent"),5500*AV22*AV24/12,0)+IF(AND(AV11&gt;0,AV7="pædagogmedhjælper"),4000*AV22*AV24/12,0)</f>
        <v>0</v>
      </c>
      <c r="AW28" s="2143">
        <f t="shared" si="36"/>
        <v>0</v>
      </c>
      <c r="AX28" s="2143">
        <f t="shared" si="36"/>
        <v>0</v>
      </c>
      <c r="AY28" s="2143">
        <f t="shared" si="36"/>
        <v>0</v>
      </c>
      <c r="AZ28" s="1490"/>
      <c r="BA28" s="1491"/>
      <c r="BB28" s="2143">
        <f t="shared" ref="BB28:BL28" si="37">IF(AND(BB11&gt;0,BB7="Pædagog"),2000*BB22*BB24/12,0)+IF(AND(BB11&gt;0,BB7="pædagogisk assistent"),5500*BB22*BB24/12,0)+IF(AND(BB11&gt;0,BB7="pædagogmedhjælper"),4000*BB22*BB24/12,0)</f>
        <v>0</v>
      </c>
      <c r="BC28" s="2143">
        <f t="shared" si="37"/>
        <v>0</v>
      </c>
      <c r="BD28" s="2143">
        <f t="shared" si="37"/>
        <v>0</v>
      </c>
      <c r="BE28" s="2143">
        <f t="shared" si="37"/>
        <v>0</v>
      </c>
      <c r="BF28" s="2143">
        <f t="shared" si="37"/>
        <v>0</v>
      </c>
      <c r="BG28" s="2143">
        <f t="shared" si="37"/>
        <v>0</v>
      </c>
      <c r="BH28" s="2143">
        <f t="shared" si="37"/>
        <v>0</v>
      </c>
      <c r="BI28" s="2143">
        <f t="shared" si="37"/>
        <v>0</v>
      </c>
      <c r="BJ28" s="2143">
        <f t="shared" si="37"/>
        <v>0</v>
      </c>
      <c r="BK28" s="2143">
        <f t="shared" si="37"/>
        <v>0</v>
      </c>
      <c r="BL28" s="2143">
        <f t="shared" si="37"/>
        <v>0</v>
      </c>
      <c r="BM28" s="1532"/>
      <c r="BN28" s="1491"/>
      <c r="BO28" s="2143">
        <f t="shared" ref="BO28:BX28" si="38">IF(AND(BO11&gt;0,BO7="Pædagog"),2000*BO22*BO24/12,0)+IF(AND(BO11&gt;0,BO7="pædagogisk assistent"),5500*BO22*BO24/12,0)+IF(AND(BO11&gt;0,BO7="pædagogmedhjælper"),4000*BO22*BO24/12,0)</f>
        <v>0</v>
      </c>
      <c r="BP28" s="2143">
        <f t="shared" si="38"/>
        <v>0</v>
      </c>
      <c r="BQ28" s="2143">
        <f t="shared" si="38"/>
        <v>0</v>
      </c>
      <c r="BR28" s="2143">
        <f t="shared" si="38"/>
        <v>0</v>
      </c>
      <c r="BS28" s="2143">
        <f t="shared" si="38"/>
        <v>0</v>
      </c>
      <c r="BT28" s="2143">
        <f t="shared" si="38"/>
        <v>0</v>
      </c>
      <c r="BU28" s="2143">
        <f t="shared" si="38"/>
        <v>0</v>
      </c>
      <c r="BV28" s="2143">
        <f t="shared" si="38"/>
        <v>0</v>
      </c>
      <c r="BW28" s="2143">
        <f t="shared" si="38"/>
        <v>0</v>
      </c>
      <c r="BX28" s="2143">
        <f t="shared" si="38"/>
        <v>0</v>
      </c>
      <c r="BY28" s="1532"/>
      <c r="BZ28" s="1491"/>
      <c r="CA28" s="1532"/>
      <c r="CB28" s="1534"/>
      <c r="CC28" s="1534"/>
      <c r="CD28" s="1534"/>
      <c r="CE28" s="1534"/>
      <c r="CF28" s="1534"/>
      <c r="CG28" s="1534"/>
      <c r="CH28" s="1491"/>
      <c r="CI28" s="1532"/>
      <c r="CJ28" s="1491"/>
      <c r="CK28" s="1529">
        <f>IF(CK8=14,3950*CK22*CK24/12,0)+IF(CK8=21,3560*CK22*CK24/12,0)+IF(CK8=17,2280*CK22*CK24/12,0)</f>
        <v>0</v>
      </c>
      <c r="CL28" s="1529">
        <f t="shared" ref="CL28:CU28" si="39">IF(CL8=14,3950*CL22*CL24/12,0)+IF(CL8=21,3560*CL22*CL24/12,0)+IF(CL8=17,2280*CL22*CL24/12,0)</f>
        <v>0</v>
      </c>
      <c r="CM28" s="1529">
        <f t="shared" si="39"/>
        <v>0</v>
      </c>
      <c r="CN28" s="1529">
        <f t="shared" si="39"/>
        <v>0</v>
      </c>
      <c r="CO28" s="1529">
        <f t="shared" si="39"/>
        <v>0</v>
      </c>
      <c r="CP28" s="1529">
        <f t="shared" si="39"/>
        <v>0</v>
      </c>
      <c r="CQ28" s="1529">
        <f t="shared" si="39"/>
        <v>0</v>
      </c>
      <c r="CR28" s="1529">
        <f t="shared" si="39"/>
        <v>0</v>
      </c>
      <c r="CS28" s="1529">
        <f t="shared" si="39"/>
        <v>0</v>
      </c>
      <c r="CT28" s="1529">
        <f t="shared" si="39"/>
        <v>0</v>
      </c>
      <c r="CU28" s="1529">
        <f t="shared" si="39"/>
        <v>0</v>
      </c>
      <c r="CV28" s="1532"/>
      <c r="CW28" s="1491"/>
      <c r="CX28" s="1529">
        <f t="shared" ref="CX28:DB28" si="40">IF(CX8=14,3950*CX22*CX24/12,0)+IF(CX8=21,3560*CX22*CX24/12,0)+IF(CX8=17,2280*CX22*CX24/12,0)</f>
        <v>0</v>
      </c>
      <c r="CY28" s="1529">
        <f t="shared" si="40"/>
        <v>0</v>
      </c>
      <c r="CZ28" s="1529">
        <f t="shared" si="40"/>
        <v>0</v>
      </c>
      <c r="DA28" s="1529">
        <f t="shared" si="40"/>
        <v>0</v>
      </c>
      <c r="DB28" s="1529">
        <f t="shared" si="40"/>
        <v>0</v>
      </c>
      <c r="DC28" s="1532"/>
      <c r="DD28" s="1491"/>
      <c r="DJ28" s="1304" t="s">
        <v>636</v>
      </c>
      <c r="DK28" s="1293"/>
      <c r="DL28" s="1417">
        <f t="shared" si="17"/>
        <v>0</v>
      </c>
      <c r="DM28" s="1438" t="s">
        <v>636</v>
      </c>
      <c r="DN28" s="1293"/>
      <c r="DO28" s="1419">
        <f t="shared" si="16"/>
        <v>0</v>
      </c>
      <c r="EE28" s="328"/>
      <c r="EF28" s="328"/>
      <c r="EG28" s="328"/>
      <c r="EH28" s="328"/>
      <c r="EI28" s="328"/>
      <c r="EJ28" s="328"/>
      <c r="EK28" s="328"/>
    </row>
    <row r="29" spans="1:141" ht="26" customHeight="1">
      <c r="A29" s="3032" t="s">
        <v>653</v>
      </c>
      <c r="B29" s="3033"/>
      <c r="C29" s="2177">
        <f>IF(AND(C24&gt;0,C7="Pædagog"),8018*C22*C24/12,0)+IF(AND(C24&gt;0,C7="afdelingsleder"),4398*C22*C24/12,0)</f>
        <v>0</v>
      </c>
      <c r="D29" s="2181">
        <f>IF(AND(D24&gt;0,D7="Pædagog"),8018*D22*D24/12,0)+IF(AND(D24&gt;0,D7="afdelingsleder"),4398*D22*D24/12,0)</f>
        <v>0</v>
      </c>
      <c r="E29" s="2143">
        <f>IF(AND(E24&gt;0,E7="Pædagog"),16036*E22*E24/12,0)+IF(AND(E24&gt;0,E7="afdelingsleder"),4398*E22*E24/12,0)</f>
        <v>0</v>
      </c>
      <c r="F29" s="2143">
        <f t="shared" ref="F29:U29" si="41">IF(AND(F24&gt;0,F7="Pædagog"),16036*F22*F24/12,0)+IF(AND(F24&gt;0,F7="afdelingsleder"),4398*F22*F24/12,0)</f>
        <v>0</v>
      </c>
      <c r="G29" s="2143">
        <f t="shared" si="41"/>
        <v>0</v>
      </c>
      <c r="H29" s="2143">
        <f t="shared" si="41"/>
        <v>0</v>
      </c>
      <c r="I29" s="2143">
        <f t="shared" si="41"/>
        <v>0</v>
      </c>
      <c r="J29" s="2143">
        <f t="shared" si="41"/>
        <v>0</v>
      </c>
      <c r="K29" s="2143">
        <f t="shared" si="41"/>
        <v>0</v>
      </c>
      <c r="L29" s="2143">
        <f t="shared" si="41"/>
        <v>0</v>
      </c>
      <c r="M29" s="2143">
        <f t="shared" si="41"/>
        <v>0</v>
      </c>
      <c r="N29" s="2143">
        <f t="shared" si="41"/>
        <v>0</v>
      </c>
      <c r="O29" s="2143">
        <f t="shared" si="41"/>
        <v>0</v>
      </c>
      <c r="P29" s="2143">
        <f t="shared" si="41"/>
        <v>0</v>
      </c>
      <c r="Q29" s="2143">
        <f t="shared" si="41"/>
        <v>0</v>
      </c>
      <c r="R29" s="2143">
        <f t="shared" si="41"/>
        <v>0</v>
      </c>
      <c r="S29" s="2143">
        <f t="shared" si="41"/>
        <v>0</v>
      </c>
      <c r="T29" s="2143">
        <f t="shared" si="41"/>
        <v>0</v>
      </c>
      <c r="U29" s="2143">
        <f t="shared" si="41"/>
        <v>0</v>
      </c>
      <c r="V29" s="1490"/>
      <c r="W29" s="1491"/>
      <c r="X29" s="2095">
        <f t="shared" ref="X29:Z29" si="42">IF(AND(X24&gt;0,X7="Pædagog"),8018*X22*X24/12,0)+IF(AND(X24&gt;0,X7="afdelingsleder"),4398*X22*X24/12,0)</f>
        <v>0</v>
      </c>
      <c r="Y29" s="2208">
        <f t="shared" ref="Y29" si="43">IF(AND(Y24&gt;0,Y7="Pædagog"),8018*Y22*Y24/12,0)+IF(AND(Y24&gt;0,Y7="afdelingsleder"),4398*Y22*Y24/12,0)</f>
        <v>0</v>
      </c>
      <c r="Z29" s="2261">
        <f t="shared" si="42"/>
        <v>0</v>
      </c>
      <c r="AA29" s="2143">
        <f t="shared" ref="AA29:AQ29" si="44">IF(AND(AA24&gt;0,AA7="Pædagog"),16036*AA22*AA24/12,0)+IF(AND(AA24&gt;0,AA7="afdelingsleder"),4398*AA22*AA24/12,0)</f>
        <v>0</v>
      </c>
      <c r="AB29" s="2143">
        <f t="shared" si="44"/>
        <v>0</v>
      </c>
      <c r="AC29" s="2143">
        <f t="shared" si="44"/>
        <v>0</v>
      </c>
      <c r="AD29" s="2143">
        <f t="shared" si="44"/>
        <v>0</v>
      </c>
      <c r="AE29" s="2143">
        <f t="shared" si="44"/>
        <v>0</v>
      </c>
      <c r="AF29" s="2143">
        <f t="shared" si="44"/>
        <v>0</v>
      </c>
      <c r="AG29" s="2143">
        <f t="shared" si="44"/>
        <v>0</v>
      </c>
      <c r="AH29" s="2143">
        <f t="shared" si="44"/>
        <v>0</v>
      </c>
      <c r="AI29" s="2143">
        <f t="shared" si="44"/>
        <v>0</v>
      </c>
      <c r="AJ29" s="2143">
        <f t="shared" si="44"/>
        <v>0</v>
      </c>
      <c r="AK29" s="2143">
        <f t="shared" si="44"/>
        <v>0</v>
      </c>
      <c r="AL29" s="2143">
        <f t="shared" si="44"/>
        <v>0</v>
      </c>
      <c r="AM29" s="2143">
        <f t="shared" si="44"/>
        <v>0</v>
      </c>
      <c r="AN29" s="2143">
        <f t="shared" si="44"/>
        <v>0</v>
      </c>
      <c r="AO29" s="2143">
        <f t="shared" si="44"/>
        <v>0</v>
      </c>
      <c r="AP29" s="2143">
        <f t="shared" si="44"/>
        <v>0</v>
      </c>
      <c r="AQ29" s="2143">
        <f t="shared" si="44"/>
        <v>0</v>
      </c>
      <c r="AR29" s="2250"/>
      <c r="AS29" s="2251"/>
      <c r="AT29" s="2251"/>
      <c r="AU29" s="2252"/>
      <c r="AV29" s="2143">
        <f t="shared" ref="AV29:AY29" si="45">IF(AND(AV24&gt;0,AV7="Pædagog"),16036*AV22*AV24/12,0)+IF(AND(AV24&gt;0,AV7="afdelingsleder"),4398*AV22*AV24/12,0)</f>
        <v>0</v>
      </c>
      <c r="AW29" s="2143">
        <f t="shared" si="45"/>
        <v>0</v>
      </c>
      <c r="AX29" s="2143">
        <f t="shared" si="45"/>
        <v>0</v>
      </c>
      <c r="AY29" s="2143">
        <f t="shared" si="45"/>
        <v>0</v>
      </c>
      <c r="AZ29" s="1490"/>
      <c r="BA29" s="1491"/>
      <c r="BB29" s="2143">
        <f t="shared" ref="BB29:BL29" si="46">IF(AND(BB24&gt;0,BB7="Pædagog"),16036*BB22*BB24/12,0)+IF(AND(BB24&gt;0,BB7="afdelingsleder"),4398*BB22*BB24/12,0)</f>
        <v>0</v>
      </c>
      <c r="BC29" s="2143">
        <f t="shared" si="46"/>
        <v>0</v>
      </c>
      <c r="BD29" s="2143">
        <f t="shared" si="46"/>
        <v>0</v>
      </c>
      <c r="BE29" s="2143">
        <f t="shared" si="46"/>
        <v>0</v>
      </c>
      <c r="BF29" s="2143">
        <f t="shared" si="46"/>
        <v>0</v>
      </c>
      <c r="BG29" s="2143">
        <f t="shared" si="46"/>
        <v>0</v>
      </c>
      <c r="BH29" s="2143">
        <f t="shared" si="46"/>
        <v>0</v>
      </c>
      <c r="BI29" s="2143">
        <f t="shared" si="46"/>
        <v>0</v>
      </c>
      <c r="BJ29" s="2143">
        <f t="shared" si="46"/>
        <v>0</v>
      </c>
      <c r="BK29" s="2143">
        <f t="shared" si="46"/>
        <v>0</v>
      </c>
      <c r="BL29" s="2143">
        <f t="shared" si="46"/>
        <v>0</v>
      </c>
      <c r="BM29" s="1532"/>
      <c r="BN29" s="1491"/>
      <c r="BO29" s="2143">
        <f t="shared" ref="BO29:BW29" si="47">IF(AND(BO24&gt;0,BO7="Pædagog"),16036*BO22*BO24/12,0)+IF(AND(BO24&gt;0,BO7="afdelingsleder"),4398*BO22*BO24/12,0)</f>
        <v>0</v>
      </c>
      <c r="BP29" s="2143">
        <f t="shared" si="47"/>
        <v>0</v>
      </c>
      <c r="BQ29" s="2143">
        <f t="shared" si="47"/>
        <v>0</v>
      </c>
      <c r="BR29" s="2143">
        <f t="shared" si="47"/>
        <v>0</v>
      </c>
      <c r="BS29" s="2143">
        <f t="shared" si="47"/>
        <v>0</v>
      </c>
      <c r="BT29" s="2143">
        <f t="shared" si="47"/>
        <v>0</v>
      </c>
      <c r="BU29" s="2143">
        <f t="shared" si="47"/>
        <v>0</v>
      </c>
      <c r="BV29" s="2143">
        <f t="shared" si="47"/>
        <v>0</v>
      </c>
      <c r="BW29" s="2143">
        <f t="shared" si="47"/>
        <v>0</v>
      </c>
      <c r="BX29" s="2143">
        <f>IF(AND(BX24&gt;0,BX7="Pædagog"),16036*BX22*BX24/12,0)+IF(AND(BX24&gt;0,BX7="afdelingsleder"),4398*BX22*BX24/12,0)</f>
        <v>0</v>
      </c>
      <c r="BY29" s="1532"/>
      <c r="BZ29" s="1491"/>
      <c r="CA29" s="1532"/>
      <c r="CB29" s="1534"/>
      <c r="CC29" s="1534"/>
      <c r="CD29" s="1534"/>
      <c r="CE29" s="1534"/>
      <c r="CF29" s="1534"/>
      <c r="CG29" s="1534"/>
      <c r="CH29" s="1491"/>
      <c r="CI29" s="1532"/>
      <c r="CJ29" s="1491"/>
      <c r="CK29" s="1535"/>
      <c r="CL29" s="1535"/>
      <c r="CM29" s="1535"/>
      <c r="CN29" s="1535"/>
      <c r="CO29" s="1535"/>
      <c r="CP29" s="1535"/>
      <c r="CQ29" s="1535"/>
      <c r="CR29" s="1535"/>
      <c r="CS29" s="1535"/>
      <c r="CT29" s="1535"/>
      <c r="CU29" s="1535"/>
      <c r="CV29" s="1532"/>
      <c r="CW29" s="1491"/>
      <c r="CX29" s="1536"/>
      <c r="CY29" s="1537"/>
      <c r="CZ29" s="1537"/>
      <c r="DA29" s="1537"/>
      <c r="DB29" s="1538"/>
      <c r="DC29" s="1532"/>
      <c r="DD29" s="1491"/>
      <c r="DJ29" s="1304"/>
      <c r="DK29" s="1293"/>
      <c r="DL29" s="1417"/>
      <c r="DM29" s="1438"/>
      <c r="DN29" s="1293"/>
      <c r="DO29" s="1419"/>
      <c r="EE29" s="328"/>
      <c r="EF29" s="328"/>
      <c r="EG29" s="328"/>
      <c r="EH29" s="328"/>
      <c r="EI29" s="328"/>
      <c r="EJ29" s="328"/>
      <c r="EK29" s="328"/>
    </row>
    <row r="30" spans="1:141" ht="24" customHeight="1">
      <c r="A30" s="3049" t="s">
        <v>654</v>
      </c>
      <c r="B30" s="3050"/>
      <c r="C30" s="2182">
        <f>IF(C14&gt;0,4500*C22*C24/12,0)</f>
        <v>0</v>
      </c>
      <c r="D30" s="2183">
        <f>IF(D14&gt;0,4500*D22*D24/12,0)</f>
        <v>0</v>
      </c>
      <c r="E30" s="2144"/>
      <c r="F30" s="2209"/>
      <c r="G30" s="1539"/>
      <c r="H30" s="1539"/>
      <c r="I30" s="1539"/>
      <c r="J30" s="1539"/>
      <c r="K30" s="1539"/>
      <c r="L30" s="1539"/>
      <c r="M30" s="1539"/>
      <c r="N30" s="1539"/>
      <c r="O30" s="1539"/>
      <c r="P30" s="1539"/>
      <c r="Q30" s="1539"/>
      <c r="R30" s="1539"/>
      <c r="S30" s="1539"/>
      <c r="T30" s="1539"/>
      <c r="U30" s="1533"/>
      <c r="V30" s="1490"/>
      <c r="W30" s="1491"/>
      <c r="X30" s="2229">
        <f>IF(X14&gt;0,4500*X22*X24/12,0)</f>
        <v>0</v>
      </c>
      <c r="Y30" s="2230">
        <f>IF(Y14&gt;0,4500*Y22*Y24/12,0)</f>
        <v>0</v>
      </c>
      <c r="Z30" s="2463">
        <f>IF(Z14&gt;0,4500*Z22*Z24/12,0)</f>
        <v>0</v>
      </c>
      <c r="AA30" s="2265"/>
      <c r="AB30" s="1534"/>
      <c r="AC30" s="1534"/>
      <c r="AD30" s="1534"/>
      <c r="AE30" s="1534"/>
      <c r="AF30" s="1534"/>
      <c r="AG30" s="1534"/>
      <c r="AH30" s="1534"/>
      <c r="AI30" s="1534"/>
      <c r="AJ30" s="1534"/>
      <c r="AK30" s="1534"/>
      <c r="AL30" s="1534"/>
      <c r="AM30" s="1534"/>
      <c r="AN30" s="1534"/>
      <c r="AO30" s="1534"/>
      <c r="AP30" s="1534"/>
      <c r="AQ30" s="1535"/>
      <c r="AR30" s="2262"/>
      <c r="AS30" s="2263"/>
      <c r="AT30" s="2263"/>
      <c r="AU30" s="2264"/>
      <c r="AV30" s="2265"/>
      <c r="AW30" s="2263"/>
      <c r="AX30" s="2263"/>
      <c r="AY30" s="2264"/>
      <c r="AZ30" s="1490"/>
      <c r="BA30" s="1491"/>
      <c r="BB30" s="2262"/>
      <c r="BC30" s="2265"/>
      <c r="BD30" s="1534"/>
      <c r="BE30" s="1534"/>
      <c r="BF30" s="1534"/>
      <c r="BG30" s="1534"/>
      <c r="BH30" s="1534"/>
      <c r="BI30" s="1534"/>
      <c r="BJ30" s="1534"/>
      <c r="BK30" s="1534"/>
      <c r="BL30" s="1491"/>
      <c r="BM30" s="1532"/>
      <c r="BN30" s="1491"/>
      <c r="BO30" s="1532"/>
      <c r="BP30" s="1534"/>
      <c r="BQ30" s="1534"/>
      <c r="BR30" s="1534"/>
      <c r="BS30" s="1534"/>
      <c r="BT30" s="1534"/>
      <c r="BU30" s="1534"/>
      <c r="BV30" s="1534"/>
      <c r="BW30" s="1534"/>
      <c r="BX30" s="1491"/>
      <c r="BY30" s="1532"/>
      <c r="BZ30" s="1491"/>
      <c r="CA30" s="1532"/>
      <c r="CB30" s="1534"/>
      <c r="CC30" s="1534"/>
      <c r="CD30" s="1534"/>
      <c r="CE30" s="1534"/>
      <c r="CF30" s="1534"/>
      <c r="CG30" s="1534"/>
      <c r="CH30" s="1491"/>
      <c r="CI30" s="1532"/>
      <c r="CJ30" s="1491"/>
      <c r="CK30" s="1532"/>
      <c r="CL30" s="1534"/>
      <c r="CM30" s="1534"/>
      <c r="CN30" s="1534"/>
      <c r="CO30" s="1534"/>
      <c r="CP30" s="1534"/>
      <c r="CQ30" s="1534"/>
      <c r="CR30" s="1534"/>
      <c r="CS30" s="1534"/>
      <c r="CT30" s="1534"/>
      <c r="CU30" s="1535"/>
      <c r="CV30" s="1532"/>
      <c r="CW30" s="1491"/>
      <c r="CX30" s="1532"/>
      <c r="CY30" s="1534"/>
      <c r="CZ30" s="1534"/>
      <c r="DA30" s="1534"/>
      <c r="DB30" s="1491"/>
      <c r="DC30" s="1532"/>
      <c r="DD30" s="1491"/>
      <c r="DJ30" s="1304" t="s">
        <v>508</v>
      </c>
      <c r="DK30" s="1293"/>
      <c r="DL30" s="1417">
        <f>SUM(V98:W98)+SUM(V81:W81)</f>
        <v>0</v>
      </c>
      <c r="DM30" s="1438" t="s">
        <v>508</v>
      </c>
      <c r="DN30" s="1293"/>
      <c r="DO30" s="1419">
        <f>SUM(AZ98:BA98)+SUM(AZ81:BA81)</f>
        <v>0</v>
      </c>
    </row>
    <row r="31" spans="1:141" ht="47" customHeight="1">
      <c r="A31" s="3027" t="s">
        <v>1541</v>
      </c>
      <c r="B31" s="3028"/>
      <c r="C31" s="2184"/>
      <c r="D31" s="2185"/>
      <c r="E31" s="2145"/>
      <c r="F31" s="2210"/>
      <c r="G31" s="1543"/>
      <c r="H31" s="1543"/>
      <c r="I31" s="1543"/>
      <c r="J31" s="1543"/>
      <c r="K31" s="1543"/>
      <c r="L31" s="1543"/>
      <c r="M31" s="1543"/>
      <c r="N31" s="1543"/>
      <c r="O31" s="1543"/>
      <c r="P31" s="1543"/>
      <c r="Q31" s="1543"/>
      <c r="R31" s="1543"/>
      <c r="S31" s="1543"/>
      <c r="T31" s="1543"/>
      <c r="U31" s="1541"/>
      <c r="V31" s="1493"/>
      <c r="W31" s="1494"/>
      <c r="X31" s="2231"/>
      <c r="Y31" s="2210"/>
      <c r="Z31" s="1544"/>
      <c r="AA31" s="1542"/>
      <c r="AB31" s="1543"/>
      <c r="AC31" s="1543"/>
      <c r="AD31" s="1543"/>
      <c r="AE31" s="1543"/>
      <c r="AF31" s="1543"/>
      <c r="AG31" s="1543"/>
      <c r="AH31" s="1543"/>
      <c r="AI31" s="1543"/>
      <c r="AJ31" s="1543"/>
      <c r="AK31" s="1543"/>
      <c r="AL31" s="1543"/>
      <c r="AM31" s="1543"/>
      <c r="AN31" s="1543"/>
      <c r="AO31" s="1543"/>
      <c r="AP31" s="1543"/>
      <c r="AQ31" s="1544"/>
      <c r="AR31" s="2231"/>
      <c r="AS31" s="2210"/>
      <c r="AT31" s="2210"/>
      <c r="AU31" s="2266"/>
      <c r="AV31" s="2145"/>
      <c r="AW31" s="2210"/>
      <c r="AX31" s="2210"/>
      <c r="AY31" s="2266"/>
      <c r="AZ31" s="1493"/>
      <c r="BA31" s="1494"/>
      <c r="BB31" s="2231"/>
      <c r="BC31" s="2145"/>
      <c r="BD31" s="1543"/>
      <c r="BE31" s="1543"/>
      <c r="BF31" s="1543"/>
      <c r="BG31" s="1543"/>
      <c r="BH31" s="1543"/>
      <c r="BI31" s="1543"/>
      <c r="BJ31" s="1543"/>
      <c r="BK31" s="1543"/>
      <c r="BL31" s="1541"/>
      <c r="BM31" s="1495"/>
      <c r="BN31" s="1494"/>
      <c r="BO31" s="1542"/>
      <c r="BP31" s="1543"/>
      <c r="BQ31" s="1543"/>
      <c r="BR31" s="1543"/>
      <c r="BS31" s="1543"/>
      <c r="BT31" s="1543"/>
      <c r="BU31" s="1543"/>
      <c r="BV31" s="1543"/>
      <c r="BW31" s="1543"/>
      <c r="BX31" s="1541"/>
      <c r="BY31" s="1495"/>
      <c r="BZ31" s="1494"/>
      <c r="CA31" s="1542"/>
      <c r="CB31" s="1543"/>
      <c r="CC31" s="1543"/>
      <c r="CD31" s="1543"/>
      <c r="CE31" s="1543"/>
      <c r="CF31" s="1543"/>
      <c r="CG31" s="1543"/>
      <c r="CH31" s="1541"/>
      <c r="CI31" s="1495"/>
      <c r="CJ31" s="1494"/>
      <c r="CK31" s="1542"/>
      <c r="CL31" s="1543"/>
      <c r="CM31" s="1543"/>
      <c r="CN31" s="1543"/>
      <c r="CO31" s="1543"/>
      <c r="CP31" s="1543"/>
      <c r="CQ31" s="1543"/>
      <c r="CR31" s="1543"/>
      <c r="CS31" s="1543"/>
      <c r="CT31" s="1543"/>
      <c r="CU31" s="1544"/>
      <c r="CV31" s="1495"/>
      <c r="CW31" s="1494"/>
      <c r="CX31" s="1542"/>
      <c r="CY31" s="1543"/>
      <c r="CZ31" s="1543"/>
      <c r="DA31" s="1543"/>
      <c r="DB31" s="1541"/>
      <c r="DC31" s="1495"/>
      <c r="DD31" s="1494"/>
      <c r="DE31" s="62" t="s">
        <v>655</v>
      </c>
      <c r="DJ31" s="1545" t="s">
        <v>509</v>
      </c>
      <c r="DK31" s="1293"/>
      <c r="DL31" s="1546">
        <f>W84</f>
        <v>0</v>
      </c>
      <c r="DM31" s="1547" t="s">
        <v>509</v>
      </c>
      <c r="DN31" s="1293"/>
      <c r="DO31" s="1548">
        <f>BA84</f>
        <v>0</v>
      </c>
    </row>
    <row r="32" spans="1:141" ht="47" customHeight="1">
      <c r="A32" s="3027" t="s">
        <v>1542</v>
      </c>
      <c r="B32" s="3028"/>
      <c r="C32" s="2184"/>
      <c r="D32" s="2185"/>
      <c r="E32" s="2145"/>
      <c r="F32" s="2210"/>
      <c r="G32" s="1543"/>
      <c r="H32" s="1543"/>
      <c r="I32" s="1543"/>
      <c r="J32" s="1543"/>
      <c r="K32" s="1543"/>
      <c r="L32" s="1543"/>
      <c r="M32" s="1543"/>
      <c r="N32" s="1543"/>
      <c r="O32" s="1543"/>
      <c r="P32" s="1543"/>
      <c r="Q32" s="1543"/>
      <c r="R32" s="1543"/>
      <c r="S32" s="1543"/>
      <c r="T32" s="1543"/>
      <c r="U32" s="1541"/>
      <c r="V32" s="1493"/>
      <c r="W32" s="1494"/>
      <c r="X32" s="2231"/>
      <c r="Y32" s="2210"/>
      <c r="Z32" s="1544"/>
      <c r="AA32" s="1542"/>
      <c r="AB32" s="1543"/>
      <c r="AC32" s="1543"/>
      <c r="AD32" s="1543"/>
      <c r="AE32" s="1543"/>
      <c r="AF32" s="1549"/>
      <c r="AG32" s="1549"/>
      <c r="AH32" s="1549"/>
      <c r="AI32" s="1543"/>
      <c r="AJ32" s="1543"/>
      <c r="AK32" s="1543"/>
      <c r="AL32" s="1543"/>
      <c r="AM32" s="1543"/>
      <c r="AN32" s="1543"/>
      <c r="AO32" s="1543"/>
      <c r="AP32" s="1543"/>
      <c r="AQ32" s="1544"/>
      <c r="AR32" s="2231"/>
      <c r="AS32" s="2210"/>
      <c r="AT32" s="2210"/>
      <c r="AU32" s="2266"/>
      <c r="AV32" s="2145"/>
      <c r="AW32" s="2210"/>
      <c r="AX32" s="2210"/>
      <c r="AY32" s="2266"/>
      <c r="AZ32" s="1493"/>
      <c r="BA32" s="1494"/>
      <c r="BB32" s="2231"/>
      <c r="BC32" s="2145"/>
      <c r="BD32" s="1543"/>
      <c r="BE32" s="1543"/>
      <c r="BF32" s="1543"/>
      <c r="BG32" s="1543"/>
      <c r="BH32" s="1543"/>
      <c r="BI32" s="1543"/>
      <c r="BJ32" s="1543"/>
      <c r="BK32" s="1543"/>
      <c r="BL32" s="1541"/>
      <c r="BM32" s="1495"/>
      <c r="BN32" s="1494"/>
      <c r="BO32" s="1542"/>
      <c r="BP32" s="1543"/>
      <c r="BQ32" s="1543"/>
      <c r="BR32" s="1543"/>
      <c r="BS32" s="1543"/>
      <c r="BT32" s="1543"/>
      <c r="BU32" s="1543"/>
      <c r="BV32" s="1543"/>
      <c r="BW32" s="1543"/>
      <c r="BX32" s="1541"/>
      <c r="BY32" s="1495"/>
      <c r="BZ32" s="1494"/>
      <c r="CA32" s="1542"/>
      <c r="CB32" s="1543"/>
      <c r="CC32" s="1543"/>
      <c r="CD32" s="1543"/>
      <c r="CE32" s="1543"/>
      <c r="CF32" s="1543"/>
      <c r="CG32" s="1543"/>
      <c r="CH32" s="1541"/>
      <c r="CI32" s="1495"/>
      <c r="CJ32" s="1494"/>
      <c r="CK32" s="1542"/>
      <c r="CL32" s="1543"/>
      <c r="CM32" s="1543"/>
      <c r="CN32" s="1543"/>
      <c r="CO32" s="1543"/>
      <c r="CP32" s="1543"/>
      <c r="CQ32" s="1543"/>
      <c r="CR32" s="1543"/>
      <c r="CS32" s="1543"/>
      <c r="CT32" s="1543"/>
      <c r="CU32" s="1544"/>
      <c r="CV32" s="1495"/>
      <c r="CW32" s="1494"/>
      <c r="CX32" s="1542"/>
      <c r="CY32" s="1543"/>
      <c r="CZ32" s="1543"/>
      <c r="DA32" s="1543"/>
      <c r="DB32" s="1541"/>
      <c r="DC32" s="1495"/>
      <c r="DD32" s="1494"/>
      <c r="DE32" s="62" t="s">
        <v>655</v>
      </c>
      <c r="DJ32" s="1304" t="s">
        <v>656</v>
      </c>
      <c r="DK32" s="1550"/>
      <c r="DL32" s="1417">
        <f>SUM(DL8:DL31)</f>
        <v>0</v>
      </c>
      <c r="DM32" s="1438" t="s">
        <v>657</v>
      </c>
      <c r="DN32" s="1438"/>
      <c r="DO32" s="1419">
        <f>SUM(DO8:DO31)</f>
        <v>0</v>
      </c>
    </row>
    <row r="33" spans="1:119" ht="47" customHeight="1">
      <c r="A33" s="3027" t="s">
        <v>1543</v>
      </c>
      <c r="B33" s="3028"/>
      <c r="C33" s="2184"/>
      <c r="D33" s="2185"/>
      <c r="E33" s="2145"/>
      <c r="F33" s="2210"/>
      <c r="G33" s="1543"/>
      <c r="H33" s="1543"/>
      <c r="I33" s="1543"/>
      <c r="J33" s="1543"/>
      <c r="K33" s="1543"/>
      <c r="L33" s="1543"/>
      <c r="M33" s="1543"/>
      <c r="N33" s="1543"/>
      <c r="O33" s="1543"/>
      <c r="P33" s="1543"/>
      <c r="Q33" s="1543"/>
      <c r="R33" s="1543"/>
      <c r="S33" s="1543"/>
      <c r="T33" s="1543"/>
      <c r="U33" s="1541"/>
      <c r="V33" s="1493"/>
      <c r="W33" s="1494"/>
      <c r="X33" s="2231"/>
      <c r="Y33" s="2210"/>
      <c r="Z33" s="1544"/>
      <c r="AA33" s="1542"/>
      <c r="AB33" s="1543"/>
      <c r="AC33" s="1543"/>
      <c r="AD33" s="1543"/>
      <c r="AE33" s="1543"/>
      <c r="AF33" s="1543"/>
      <c r="AG33" s="1543"/>
      <c r="AH33" s="1543"/>
      <c r="AI33" s="1543"/>
      <c r="AJ33" s="1543"/>
      <c r="AK33" s="1543"/>
      <c r="AL33" s="1543"/>
      <c r="AM33" s="1543"/>
      <c r="AN33" s="1543"/>
      <c r="AO33" s="1543"/>
      <c r="AP33" s="1543"/>
      <c r="AQ33" s="1544"/>
      <c r="AR33" s="2231"/>
      <c r="AS33" s="2210"/>
      <c r="AT33" s="2210"/>
      <c r="AU33" s="2266"/>
      <c r="AV33" s="2145"/>
      <c r="AW33" s="2210"/>
      <c r="AX33" s="2210"/>
      <c r="AY33" s="2266"/>
      <c r="AZ33" s="1493"/>
      <c r="BA33" s="1494"/>
      <c r="BB33" s="2231"/>
      <c r="BC33" s="2145"/>
      <c r="BD33" s="1543"/>
      <c r="BE33" s="1543"/>
      <c r="BF33" s="1543"/>
      <c r="BG33" s="1543"/>
      <c r="BH33" s="1543"/>
      <c r="BI33" s="1543"/>
      <c r="BJ33" s="1543"/>
      <c r="BK33" s="1543"/>
      <c r="BL33" s="1541"/>
      <c r="BM33" s="1495"/>
      <c r="BN33" s="1494"/>
      <c r="BO33" s="1542"/>
      <c r="BP33" s="1543"/>
      <c r="BQ33" s="1543"/>
      <c r="BR33" s="1543"/>
      <c r="BS33" s="1543"/>
      <c r="BT33" s="1543"/>
      <c r="BU33" s="1543"/>
      <c r="BV33" s="1543"/>
      <c r="BW33" s="1543"/>
      <c r="BX33" s="1541"/>
      <c r="BY33" s="1495"/>
      <c r="BZ33" s="1494"/>
      <c r="CA33" s="1542"/>
      <c r="CB33" s="1543"/>
      <c r="CC33" s="1543"/>
      <c r="CD33" s="1543"/>
      <c r="CE33" s="1543"/>
      <c r="CF33" s="1543"/>
      <c r="CG33" s="1543"/>
      <c r="CH33" s="1541"/>
      <c r="CI33" s="1495"/>
      <c r="CJ33" s="1494"/>
      <c r="CK33" s="1542"/>
      <c r="CL33" s="1543"/>
      <c r="CM33" s="1543"/>
      <c r="CN33" s="1543"/>
      <c r="CO33" s="1543"/>
      <c r="CP33" s="1543"/>
      <c r="CQ33" s="1543"/>
      <c r="CR33" s="1543"/>
      <c r="CS33" s="1543"/>
      <c r="CT33" s="1543"/>
      <c r="CU33" s="1544"/>
      <c r="CV33" s="1495"/>
      <c r="CW33" s="1494"/>
      <c r="CX33" s="1542"/>
      <c r="CY33" s="1543"/>
      <c r="CZ33" s="1543"/>
      <c r="DA33" s="1543"/>
      <c r="DB33" s="1541"/>
      <c r="DC33" s="1495"/>
      <c r="DD33" s="1494"/>
      <c r="DE33" s="62" t="s">
        <v>655</v>
      </c>
      <c r="DJ33" s="1304" t="s">
        <v>513</v>
      </c>
      <c r="DK33" s="1304"/>
      <c r="DL33" s="1417">
        <f>W56+W84-DL32+SUM(V81:W81)</f>
        <v>0</v>
      </c>
      <c r="DM33" s="1438" t="s">
        <v>513</v>
      </c>
      <c r="DN33" s="1438"/>
      <c r="DO33" s="1419">
        <f>BA56+BA84-DO32+SUM(AZ81:BA81)</f>
        <v>0</v>
      </c>
    </row>
    <row r="34" spans="1:119" ht="47" customHeight="1">
      <c r="A34" s="3027" t="s">
        <v>1544</v>
      </c>
      <c r="B34" s="3028"/>
      <c r="C34" s="2184"/>
      <c r="D34" s="2185"/>
      <c r="E34" s="2145"/>
      <c r="F34" s="2210"/>
      <c r="G34" s="1543"/>
      <c r="H34" s="1543"/>
      <c r="I34" s="1543"/>
      <c r="J34" s="1543"/>
      <c r="K34" s="1543"/>
      <c r="L34" s="1543"/>
      <c r="M34" s="1543"/>
      <c r="N34" s="1543"/>
      <c r="O34" s="1543"/>
      <c r="P34" s="1543"/>
      <c r="Q34" s="1543"/>
      <c r="R34" s="1543"/>
      <c r="S34" s="1543"/>
      <c r="T34" s="1543"/>
      <c r="U34" s="1541"/>
      <c r="V34" s="1493"/>
      <c r="W34" s="1494"/>
      <c r="X34" s="2231"/>
      <c r="Y34" s="2210"/>
      <c r="Z34" s="1544"/>
      <c r="AA34" s="1542"/>
      <c r="AB34" s="1543"/>
      <c r="AC34" s="1543"/>
      <c r="AD34" s="1543"/>
      <c r="AE34" s="1543"/>
      <c r="AF34" s="1543"/>
      <c r="AG34" s="1543"/>
      <c r="AH34" s="1543"/>
      <c r="AI34" s="1543"/>
      <c r="AJ34" s="1543"/>
      <c r="AK34" s="1543"/>
      <c r="AL34" s="1543"/>
      <c r="AM34" s="1543"/>
      <c r="AN34" s="1543"/>
      <c r="AO34" s="1543"/>
      <c r="AP34" s="1543"/>
      <c r="AQ34" s="1544"/>
      <c r="AR34" s="2231"/>
      <c r="AS34" s="2210"/>
      <c r="AT34" s="2210"/>
      <c r="AU34" s="2266"/>
      <c r="AV34" s="2145"/>
      <c r="AW34" s="2210"/>
      <c r="AX34" s="2210"/>
      <c r="AY34" s="2266"/>
      <c r="AZ34" s="1493"/>
      <c r="BA34" s="1494"/>
      <c r="BB34" s="2231"/>
      <c r="BC34" s="2145"/>
      <c r="BD34" s="1543"/>
      <c r="BE34" s="1543"/>
      <c r="BF34" s="1543"/>
      <c r="BG34" s="1543"/>
      <c r="BH34" s="1543"/>
      <c r="BI34" s="1543"/>
      <c r="BJ34" s="1543"/>
      <c r="BK34" s="1543"/>
      <c r="BL34" s="1541"/>
      <c r="BM34" s="1495"/>
      <c r="BN34" s="1494"/>
      <c r="BO34" s="1542"/>
      <c r="BP34" s="1543"/>
      <c r="BQ34" s="1543"/>
      <c r="BR34" s="1543"/>
      <c r="BS34" s="1543"/>
      <c r="BT34" s="1543"/>
      <c r="BU34" s="1543"/>
      <c r="BV34" s="1543"/>
      <c r="BW34" s="1543"/>
      <c r="BX34" s="1541"/>
      <c r="BY34" s="1495"/>
      <c r="BZ34" s="1494"/>
      <c r="CA34" s="1542"/>
      <c r="CB34" s="1543"/>
      <c r="CC34" s="1543"/>
      <c r="CD34" s="1543"/>
      <c r="CE34" s="1543"/>
      <c r="CF34" s="1543"/>
      <c r="CG34" s="1543"/>
      <c r="CH34" s="1541"/>
      <c r="CI34" s="1495"/>
      <c r="CJ34" s="1494"/>
      <c r="CK34" s="1542"/>
      <c r="CL34" s="1543"/>
      <c r="CM34" s="1543"/>
      <c r="CN34" s="1543"/>
      <c r="CO34" s="1543"/>
      <c r="CP34" s="1543"/>
      <c r="CQ34" s="1543"/>
      <c r="CR34" s="1543"/>
      <c r="CS34" s="1543"/>
      <c r="CT34" s="1543"/>
      <c r="CU34" s="1544"/>
      <c r="CV34" s="1495"/>
      <c r="CW34" s="1494"/>
      <c r="CX34" s="1542"/>
      <c r="CY34" s="1543"/>
      <c r="CZ34" s="1543"/>
      <c r="DA34" s="1543"/>
      <c r="DB34" s="1541"/>
      <c r="DC34" s="1495"/>
      <c r="DD34" s="1494"/>
      <c r="DE34" s="62" t="s">
        <v>658</v>
      </c>
    </row>
    <row r="35" spans="1:119" ht="47" customHeight="1">
      <c r="A35" s="3027" t="s">
        <v>1545</v>
      </c>
      <c r="B35" s="3028"/>
      <c r="C35" s="2184"/>
      <c r="D35" s="2185"/>
      <c r="E35" s="2145"/>
      <c r="F35" s="2210"/>
      <c r="G35" s="1543"/>
      <c r="H35" s="1543"/>
      <c r="I35" s="1543"/>
      <c r="J35" s="1543"/>
      <c r="K35" s="1543"/>
      <c r="L35" s="1543"/>
      <c r="M35" s="1543"/>
      <c r="N35" s="1543"/>
      <c r="O35" s="1543"/>
      <c r="P35" s="1543"/>
      <c r="Q35" s="1543"/>
      <c r="R35" s="1543"/>
      <c r="S35" s="1543"/>
      <c r="T35" s="1543"/>
      <c r="U35" s="1541"/>
      <c r="V35" s="1493"/>
      <c r="W35" s="1494"/>
      <c r="X35" s="2231"/>
      <c r="Y35" s="2210"/>
      <c r="Z35" s="1544"/>
      <c r="AA35" s="1542"/>
      <c r="AB35" s="1543"/>
      <c r="AC35" s="1543"/>
      <c r="AD35" s="1543"/>
      <c r="AE35" s="1543"/>
      <c r="AF35" s="1543"/>
      <c r="AG35" s="1543"/>
      <c r="AH35" s="1543"/>
      <c r="AI35" s="1543"/>
      <c r="AJ35" s="1543"/>
      <c r="AK35" s="1543"/>
      <c r="AL35" s="1543"/>
      <c r="AM35" s="1543"/>
      <c r="AN35" s="1543"/>
      <c r="AO35" s="1543"/>
      <c r="AP35" s="1543"/>
      <c r="AQ35" s="1544"/>
      <c r="AR35" s="2231"/>
      <c r="AS35" s="2210"/>
      <c r="AT35" s="2210"/>
      <c r="AU35" s="2266"/>
      <c r="AV35" s="2145"/>
      <c r="AW35" s="2210"/>
      <c r="AX35" s="2210"/>
      <c r="AY35" s="2266"/>
      <c r="AZ35" s="1493"/>
      <c r="BA35" s="1494"/>
      <c r="BB35" s="2231"/>
      <c r="BC35" s="2145"/>
      <c r="BD35" s="1543"/>
      <c r="BE35" s="1543"/>
      <c r="BF35" s="1543"/>
      <c r="BG35" s="1543"/>
      <c r="BH35" s="1543"/>
      <c r="BI35" s="1543"/>
      <c r="BJ35" s="1543"/>
      <c r="BK35" s="1543"/>
      <c r="BL35" s="1541"/>
      <c r="BM35" s="1495"/>
      <c r="BN35" s="1494"/>
      <c r="BO35" s="1542"/>
      <c r="BP35" s="1543"/>
      <c r="BQ35" s="1543"/>
      <c r="BR35" s="1543"/>
      <c r="BS35" s="1543"/>
      <c r="BT35" s="1543"/>
      <c r="BU35" s="1543"/>
      <c r="BV35" s="1543"/>
      <c r="BW35" s="1543"/>
      <c r="BX35" s="1541"/>
      <c r="BY35" s="1495"/>
      <c r="BZ35" s="1494"/>
      <c r="CA35" s="1542"/>
      <c r="CB35" s="1543"/>
      <c r="CC35" s="1543"/>
      <c r="CD35" s="1543"/>
      <c r="CE35" s="1543"/>
      <c r="CF35" s="1543"/>
      <c r="CG35" s="1543"/>
      <c r="CH35" s="1541"/>
      <c r="CI35" s="1495"/>
      <c r="CJ35" s="1494"/>
      <c r="CK35" s="1542"/>
      <c r="CL35" s="1543"/>
      <c r="CM35" s="1543"/>
      <c r="CN35" s="1543"/>
      <c r="CO35" s="1543"/>
      <c r="CP35" s="1543"/>
      <c r="CQ35" s="1543"/>
      <c r="CR35" s="1543"/>
      <c r="CS35" s="1543"/>
      <c r="CT35" s="1543"/>
      <c r="CU35" s="1544"/>
      <c r="CV35" s="1495"/>
      <c r="CW35" s="1494"/>
      <c r="CX35" s="1542"/>
      <c r="CY35" s="1543"/>
      <c r="CZ35" s="1543"/>
      <c r="DA35" s="1543"/>
      <c r="DB35" s="1541"/>
      <c r="DC35" s="1495"/>
      <c r="DD35" s="1494"/>
    </row>
    <row r="36" spans="1:119" ht="47" customHeight="1">
      <c r="A36" s="3027" t="s">
        <v>1546</v>
      </c>
      <c r="B36" s="3028"/>
      <c r="C36" s="2184"/>
      <c r="D36" s="2185"/>
      <c r="E36" s="2145"/>
      <c r="F36" s="2210"/>
      <c r="G36" s="1543"/>
      <c r="H36" s="1543"/>
      <c r="I36" s="1543"/>
      <c r="J36" s="1543"/>
      <c r="K36" s="1543"/>
      <c r="L36" s="1543"/>
      <c r="M36" s="1543"/>
      <c r="N36" s="1543"/>
      <c r="O36" s="1543"/>
      <c r="P36" s="1543"/>
      <c r="Q36" s="1543"/>
      <c r="R36" s="1543"/>
      <c r="S36" s="1543"/>
      <c r="T36" s="1543"/>
      <c r="U36" s="1541"/>
      <c r="V36" s="1493"/>
      <c r="W36" s="1494"/>
      <c r="X36" s="2231"/>
      <c r="Y36" s="2210"/>
      <c r="Z36" s="1544"/>
      <c r="AA36" s="1542"/>
      <c r="AB36" s="1543"/>
      <c r="AC36" s="1543"/>
      <c r="AD36" s="1543"/>
      <c r="AE36" s="1543"/>
      <c r="AF36" s="1543"/>
      <c r="AG36" s="1543"/>
      <c r="AH36" s="1543"/>
      <c r="AI36" s="1543"/>
      <c r="AJ36" s="1543"/>
      <c r="AK36" s="1543"/>
      <c r="AL36" s="1543"/>
      <c r="AM36" s="1543"/>
      <c r="AN36" s="1543"/>
      <c r="AO36" s="1543"/>
      <c r="AP36" s="1543"/>
      <c r="AQ36" s="1544"/>
      <c r="AR36" s="2231"/>
      <c r="AS36" s="2210"/>
      <c r="AT36" s="2210"/>
      <c r="AU36" s="2266"/>
      <c r="AV36" s="2145"/>
      <c r="AW36" s="2210"/>
      <c r="AX36" s="2210"/>
      <c r="AY36" s="2266"/>
      <c r="AZ36" s="1493"/>
      <c r="BA36" s="1494"/>
      <c r="BB36" s="2231"/>
      <c r="BC36" s="2145"/>
      <c r="BD36" s="1543"/>
      <c r="BE36" s="1543"/>
      <c r="BF36" s="1543"/>
      <c r="BG36" s="1543"/>
      <c r="BH36" s="1543"/>
      <c r="BI36" s="1543"/>
      <c r="BJ36" s="1543"/>
      <c r="BK36" s="1543"/>
      <c r="BL36" s="1541"/>
      <c r="BM36" s="1495"/>
      <c r="BN36" s="1494"/>
      <c r="BO36" s="1542"/>
      <c r="BP36" s="1543"/>
      <c r="BQ36" s="1543"/>
      <c r="BR36" s="1543"/>
      <c r="BS36" s="1543"/>
      <c r="BT36" s="1543"/>
      <c r="BU36" s="1543"/>
      <c r="BV36" s="1543"/>
      <c r="BW36" s="1543"/>
      <c r="BX36" s="1541"/>
      <c r="BY36" s="1495"/>
      <c r="BZ36" s="1494"/>
      <c r="CA36" s="1542"/>
      <c r="CB36" s="1543"/>
      <c r="CC36" s="1543"/>
      <c r="CD36" s="1543"/>
      <c r="CE36" s="1543"/>
      <c r="CF36" s="1543"/>
      <c r="CG36" s="1543"/>
      <c r="CH36" s="1541"/>
      <c r="CI36" s="1495"/>
      <c r="CJ36" s="1494"/>
      <c r="CK36" s="1542"/>
      <c r="CL36" s="1543"/>
      <c r="CM36" s="1543"/>
      <c r="CN36" s="1543"/>
      <c r="CO36" s="1543"/>
      <c r="CP36" s="1543"/>
      <c r="CQ36" s="1543"/>
      <c r="CR36" s="1543"/>
      <c r="CS36" s="1543"/>
      <c r="CT36" s="1543"/>
      <c r="CU36" s="1544"/>
      <c r="CV36" s="1495"/>
      <c r="CW36" s="1494"/>
      <c r="CX36" s="1542"/>
      <c r="CY36" s="1543"/>
      <c r="CZ36" s="1543"/>
      <c r="DA36" s="1543"/>
      <c r="DB36" s="1541"/>
      <c r="DC36" s="1495"/>
      <c r="DD36" s="1494"/>
      <c r="DE36" s="62" t="s">
        <v>658</v>
      </c>
    </row>
    <row r="37" spans="1:119" ht="47" customHeight="1">
      <c r="A37" s="3027" t="s">
        <v>1546</v>
      </c>
      <c r="B37" s="3028"/>
      <c r="C37" s="2184"/>
      <c r="D37" s="2185"/>
      <c r="E37" s="2145"/>
      <c r="F37" s="2210"/>
      <c r="G37" s="1543"/>
      <c r="H37" s="1543"/>
      <c r="I37" s="1543"/>
      <c r="J37" s="1543"/>
      <c r="K37" s="1543"/>
      <c r="L37" s="1543"/>
      <c r="M37" s="1543"/>
      <c r="N37" s="1543"/>
      <c r="O37" s="1543"/>
      <c r="P37" s="1543"/>
      <c r="Q37" s="1543"/>
      <c r="R37" s="1543"/>
      <c r="S37" s="1543"/>
      <c r="T37" s="1543"/>
      <c r="U37" s="1541"/>
      <c r="V37" s="1493"/>
      <c r="W37" s="1494"/>
      <c r="X37" s="2231"/>
      <c r="Y37" s="2210"/>
      <c r="Z37" s="1544"/>
      <c r="AA37" s="1542"/>
      <c r="AB37" s="1543"/>
      <c r="AC37" s="1543"/>
      <c r="AD37" s="1543"/>
      <c r="AE37" s="1543"/>
      <c r="AF37" s="1543"/>
      <c r="AG37" s="1543"/>
      <c r="AH37" s="1543"/>
      <c r="AI37" s="1543"/>
      <c r="AJ37" s="1543"/>
      <c r="AK37" s="1543"/>
      <c r="AL37" s="1543"/>
      <c r="AM37" s="1543"/>
      <c r="AN37" s="1543"/>
      <c r="AO37" s="1543"/>
      <c r="AP37" s="1543"/>
      <c r="AQ37" s="1544"/>
      <c r="AR37" s="2231"/>
      <c r="AS37" s="2210"/>
      <c r="AT37" s="2210"/>
      <c r="AU37" s="2266"/>
      <c r="AV37" s="2145"/>
      <c r="AW37" s="2210"/>
      <c r="AX37" s="2210"/>
      <c r="AY37" s="2266"/>
      <c r="AZ37" s="1493"/>
      <c r="BA37" s="1494"/>
      <c r="BB37" s="2231"/>
      <c r="BC37" s="2145"/>
      <c r="BD37" s="1543"/>
      <c r="BE37" s="1543"/>
      <c r="BF37" s="1543"/>
      <c r="BG37" s="1543"/>
      <c r="BH37" s="1543"/>
      <c r="BI37" s="1543"/>
      <c r="BJ37" s="1543"/>
      <c r="BK37" s="1543"/>
      <c r="BL37" s="1541"/>
      <c r="BM37" s="1495"/>
      <c r="BN37" s="1494"/>
      <c r="BO37" s="1542"/>
      <c r="BP37" s="1543"/>
      <c r="BQ37" s="1543"/>
      <c r="BR37" s="1543"/>
      <c r="BS37" s="1543"/>
      <c r="BT37" s="1543"/>
      <c r="BU37" s="1543"/>
      <c r="BV37" s="1543"/>
      <c r="BW37" s="1543"/>
      <c r="BX37" s="1541"/>
      <c r="BY37" s="1495"/>
      <c r="BZ37" s="1494"/>
      <c r="CA37" s="1542"/>
      <c r="CB37" s="1543"/>
      <c r="CC37" s="1543"/>
      <c r="CD37" s="1543"/>
      <c r="CE37" s="1543"/>
      <c r="CF37" s="1543"/>
      <c r="CG37" s="1543"/>
      <c r="CH37" s="1541"/>
      <c r="CI37" s="1495"/>
      <c r="CJ37" s="1494"/>
      <c r="CK37" s="1542"/>
      <c r="CL37" s="1543"/>
      <c r="CM37" s="1543"/>
      <c r="CN37" s="1543"/>
      <c r="CO37" s="1543"/>
      <c r="CP37" s="1543"/>
      <c r="CQ37" s="1543"/>
      <c r="CR37" s="1543"/>
      <c r="CS37" s="1543"/>
      <c r="CT37" s="1543"/>
      <c r="CU37" s="1544"/>
      <c r="CV37" s="1495"/>
      <c r="CW37" s="1494"/>
      <c r="CX37" s="1542"/>
      <c r="CY37" s="1543"/>
      <c r="CZ37" s="1543"/>
      <c r="DA37" s="1543"/>
      <c r="DB37" s="1541"/>
      <c r="DC37" s="1495"/>
      <c r="DD37" s="1494"/>
      <c r="DE37" s="62" t="s">
        <v>658</v>
      </c>
    </row>
    <row r="38" spans="1:119" ht="24" customHeight="1">
      <c r="A38" s="3027" t="s">
        <v>659</v>
      </c>
      <c r="B38" s="3028"/>
      <c r="C38" s="2177">
        <f t="shared" ref="C38:D38" si="48">SUM(C31:C34)/12*C22+(((C37+C36+C35)*C22*C24)/12)+C30+C28+C29</f>
        <v>0</v>
      </c>
      <c r="D38" s="2181">
        <f t="shared" si="48"/>
        <v>0</v>
      </c>
      <c r="E38" s="2143">
        <f>SUM(E31:E34)/12*E22+(((E37+E36+E35)*E22*E24)/12)+E30+E28+E29</f>
        <v>0</v>
      </c>
      <c r="F38" s="2208">
        <f>SUM(F31:F34)/12*F22+(((F37+F36+F35)*F22*F24)/12)+F30+F28+F29</f>
        <v>0</v>
      </c>
      <c r="G38" s="1530">
        <f t="shared" ref="G38" si="49">SUM(G31:G34)/12*G22+(((G37+G36+G35)*G22*G24)/12)+G30+G28+G29</f>
        <v>0</v>
      </c>
      <c r="H38" s="1530">
        <f t="shared" ref="H38:J38" si="50">SUM(H31:H34)/12*H22+(((H37+H36+H35)*H22*H24)/12)+H30+H28+H29</f>
        <v>0</v>
      </c>
      <c r="I38" s="1530">
        <f t="shared" ref="I38" si="51">SUM(I31:I34)/12*I22+(((I37+I36+I35)*I22*I24)/12)+I30+I28+I29</f>
        <v>0</v>
      </c>
      <c r="J38" s="1530">
        <f t="shared" si="50"/>
        <v>0</v>
      </c>
      <c r="K38" s="1530">
        <f t="shared" ref="K38" si="52">SUM(K31:K34)/12*K22+(((K37+K36+K35)*K22*K24)/12)+K30+K28+K29</f>
        <v>0</v>
      </c>
      <c r="L38" s="1530">
        <f t="shared" ref="L38:M38" si="53">SUM(L31:L34)/12*L22+(((L37+L36+L35)*L22*L24)/12)+L30+L28+L29</f>
        <v>0</v>
      </c>
      <c r="M38" s="1530">
        <f t="shared" si="53"/>
        <v>0</v>
      </c>
      <c r="N38" s="1530">
        <f t="shared" ref="N38" si="54">SUM(N31:N34)/12*N22+(((N37+N36+N35)*N22*N24)/12)+N30+N28+N29</f>
        <v>0</v>
      </c>
      <c r="O38" s="1530">
        <f t="shared" ref="O38:P38" si="55">SUM(O31:O34)/12*O22+(((O37+O36+O35)*O22*O24)/12)+O30+O28+O29</f>
        <v>0</v>
      </c>
      <c r="P38" s="1530">
        <f t="shared" si="55"/>
        <v>0</v>
      </c>
      <c r="Q38" s="1530">
        <f t="shared" ref="Q38" si="56">SUM(Q31:Q34)/12*Q22+(((Q37+Q36+Q35)*Q22*Q24)/12)+Q30+Q28+Q29</f>
        <v>0</v>
      </c>
      <c r="R38" s="1530">
        <f t="shared" ref="R38:S38" si="57">SUM(R31:R34)/12*R22+(((R37+R36+R35)*R22*R24)/12)+R30+R28+R29</f>
        <v>0</v>
      </c>
      <c r="S38" s="1530">
        <f t="shared" si="57"/>
        <v>0</v>
      </c>
      <c r="T38" s="1530">
        <f t="shared" ref="T38" si="58">SUM(T31:T34)/12*T22+(((T37+T36+T35)*T22*T24)/12)+T30+T28+T29</f>
        <v>0</v>
      </c>
      <c r="U38" s="1528">
        <f t="shared" ref="U38" si="59">SUM(U31:U34)/12*U22+(((U37+U36+U35)*U22*U24)/12)+U30+U28+U29</f>
        <v>0</v>
      </c>
      <c r="V38" s="1493"/>
      <c r="W38" s="1494"/>
      <c r="X38" s="2095">
        <f t="shared" ref="X38:Y38" si="60">SUM(X31:X34)/12*X22+(((X37+X36+X35)*X22*X24)/12)+X30+X28+X29</f>
        <v>0</v>
      </c>
      <c r="Y38" s="2208">
        <f t="shared" si="60"/>
        <v>0</v>
      </c>
      <c r="Z38" s="1531">
        <f t="shared" ref="Z38" si="61">SUM(Z31:Z34)/12*Z22+(((Z37+Z36+Z35)*Z22*Z24)/12)+Z30+Z28+Z29</f>
        <v>0</v>
      </c>
      <c r="AA38" s="1529">
        <f t="shared" ref="AA38" si="62">SUM(AA31:AA34)/12*AA22+(((AA37+AA36+AA35)*AA22*AA24)/12)+AA30+AA28+AA29</f>
        <v>0</v>
      </c>
      <c r="AB38" s="1530">
        <f t="shared" ref="AB38" si="63">SUM(AB31:AB34)/12*AB22+(((AB37+AB36+AB35)*AB22*AB24)/12)+AB30+AB28+AB29</f>
        <v>0</v>
      </c>
      <c r="AC38" s="1530">
        <f t="shared" ref="AC38" si="64">SUM(AC31:AC34)/12*AC22+(((AC37+AC36+AC35)*AC22*AC24)/12)+AC30+AC28+AC29</f>
        <v>0</v>
      </c>
      <c r="AD38" s="1530">
        <f t="shared" ref="AD38:AE38" si="65">SUM(AD31:AD34)/12*AD22+(((AD37+AD36+AD35)*AD22*AD24)/12)+AD30+AD28+AD29</f>
        <v>0</v>
      </c>
      <c r="AE38" s="1530">
        <f t="shared" si="65"/>
        <v>0</v>
      </c>
      <c r="AF38" s="1530">
        <f t="shared" ref="AF38" si="66">SUM(AF31:AF34)/12*AF22+(((AF37+AF36+AF35)*AF22*AF24)/12)+AF30+AF28+AF29</f>
        <v>0</v>
      </c>
      <c r="AG38" s="1530">
        <f t="shared" ref="AG38" si="67">SUM(AG31:AG34)/12*AG22+(((AG37+AG36+AG35)*AG22*AG24)/12)+AG30+AG28+AG29</f>
        <v>0</v>
      </c>
      <c r="AH38" s="1530">
        <f t="shared" ref="AH38" si="68">SUM(AH31:AH34)/12*AH22+(((AH37+AH36+AH35)*AH22*AH24)/12)+AH30+AH28+AH29</f>
        <v>0</v>
      </c>
      <c r="AI38" s="1530">
        <f t="shared" ref="AI38" si="69">SUM(AI31:AI34)/12*AI22+(((AI37+AI36+AI35)*AI22*AI24)/12)+AI30+AI28+AI29</f>
        <v>0</v>
      </c>
      <c r="AJ38" s="1530">
        <f t="shared" ref="AJ38:AM38" si="70">SUM(AJ31:AJ34)/12*AJ22+(((AJ37+AJ36+AJ35)*AJ22*AJ24)/12)+AJ30+AJ28+AJ29</f>
        <v>0</v>
      </c>
      <c r="AK38" s="1530">
        <f t="shared" si="70"/>
        <v>0</v>
      </c>
      <c r="AL38" s="1530">
        <f t="shared" si="70"/>
        <v>0</v>
      </c>
      <c r="AM38" s="1530">
        <f t="shared" si="70"/>
        <v>0</v>
      </c>
      <c r="AN38" s="1530">
        <f t="shared" ref="AN38:AQ38" si="71">SUM(AN31:AN34)/12*AN22+(((AN37+AN36+AN35)*AN22*AN24)/12)+AN30+AN28+AN29</f>
        <v>0</v>
      </c>
      <c r="AO38" s="1530">
        <f t="shared" si="71"/>
        <v>0</v>
      </c>
      <c r="AP38" s="1530">
        <f t="shared" si="71"/>
        <v>0</v>
      </c>
      <c r="AQ38" s="1531">
        <f t="shared" si="71"/>
        <v>0</v>
      </c>
      <c r="AR38" s="2095">
        <f>SUM(AR31:AR34)/12*AR22+(((AR37+AR36+AR35)*AR22*AR24)/12)+AR30+AR28+AR29</f>
        <v>0</v>
      </c>
      <c r="AS38" s="2208">
        <f t="shared" ref="AS38:AY38" si="72">SUM(AS31:AS34)/12*AS22+(((AS37+AS36+AS35)*AS22*AS24)/12)+AS30+AS28+AS29</f>
        <v>0</v>
      </c>
      <c r="AT38" s="2208">
        <f t="shared" si="72"/>
        <v>0</v>
      </c>
      <c r="AU38" s="2261">
        <f t="shared" si="72"/>
        <v>0</v>
      </c>
      <c r="AV38" s="2143">
        <f t="shared" si="72"/>
        <v>0</v>
      </c>
      <c r="AW38" s="2208">
        <f t="shared" si="72"/>
        <v>0</v>
      </c>
      <c r="AX38" s="2208">
        <f t="shared" si="72"/>
        <v>0</v>
      </c>
      <c r="AY38" s="2261">
        <f t="shared" si="72"/>
        <v>0</v>
      </c>
      <c r="AZ38" s="1493"/>
      <c r="BA38" s="1494"/>
      <c r="BB38" s="2095">
        <f t="shared" ref="BB38:BC38" si="73">SUM(BB31:BB34)/12*BB22+(((BB37+BB36+BB35)*BB22*BB24)/12)+BB30+BB28+BB29</f>
        <v>0</v>
      </c>
      <c r="BC38" s="2143">
        <f t="shared" si="73"/>
        <v>0</v>
      </c>
      <c r="BD38" s="1530">
        <f t="shared" ref="BD38" si="74">SUM(BD31:BD34)/12*BD22+(((BD37+BD36+BD35)*BD22*BD24)/12)+BD30+BD28+BD29</f>
        <v>0</v>
      </c>
      <c r="BE38" s="1530">
        <f t="shared" ref="BE38" si="75">SUM(BE31:BE34)/12*BE22+(((BE37+BE36+BE35)*BE22*BE24)/12)+BE30+BE28+BE29</f>
        <v>0</v>
      </c>
      <c r="BF38" s="1530">
        <f t="shared" ref="BF38" si="76">SUM(BF31:BF34)/12*BF22+(((BF37+BF36+BF35)*BF22*BF24)/12)+BF30+BF28+BF29</f>
        <v>0</v>
      </c>
      <c r="BG38" s="1530">
        <f t="shared" ref="BG38" si="77">SUM(BG31:BG34)/12*BG22+(((BG37+BG36+BG35)*BG22*BG24)/12)+BG30+BG28+BG29</f>
        <v>0</v>
      </c>
      <c r="BH38" s="1530">
        <f t="shared" ref="BH38" si="78">SUM(BH31:BH34)/12*BH22+(((BH37+BH36+BH35)*BH22*BH24)/12)+BH30+BH28+BH29</f>
        <v>0</v>
      </c>
      <c r="BI38" s="1530">
        <f t="shared" ref="BI38" si="79">SUM(BI31:BI34)/12*BI22+(((BI37+BI36+BI35)*BI22*BI24)/12)+BI30+BI28+BI29</f>
        <v>0</v>
      </c>
      <c r="BJ38" s="1530">
        <f t="shared" ref="BJ38" si="80">SUM(BJ31:BJ34)/12*BJ22+(((BJ37+BJ36+BJ35)*BJ22*BJ24)/12)+BJ30+BJ28+BJ29</f>
        <v>0</v>
      </c>
      <c r="BK38" s="1530">
        <f t="shared" ref="BK38" si="81">SUM(BK31:BK34)/12*BK22+(((BK37+BK36+BK35)*BK22*BK24)/12)+BK30+BK28+BK29</f>
        <v>0</v>
      </c>
      <c r="BL38" s="1528">
        <f t="shared" ref="BL38" si="82">SUM(BL31:BL34)/12*BL22+(((BL37+BL36+BL35)*BL22*BL24)/12)+BL30+BL28+BL29</f>
        <v>0</v>
      </c>
      <c r="BM38" s="1495"/>
      <c r="BN38" s="1494"/>
      <c r="BO38" s="1529">
        <f t="shared" ref="BO38" si="83">SUM(BO31:BO34)/12*BO22+(((BO37+BO36+BO35)*BO22*BO24)/12)+BO30+BO28+BO29</f>
        <v>0</v>
      </c>
      <c r="BP38" s="1530">
        <f t="shared" ref="BP38" si="84">SUM(BP31:BP34)/12*BP22+(((BP37+BP36+BP35)*BP22*BP24)/12)+BP30+BP28+BP29</f>
        <v>0</v>
      </c>
      <c r="BQ38" s="1530">
        <f t="shared" ref="BQ38" si="85">SUM(BQ31:BQ34)/12*BQ22+(((BQ37+BQ36+BQ35)*BQ22*BQ24)/12)+BQ30+BQ28+BQ29</f>
        <v>0</v>
      </c>
      <c r="BR38" s="1530">
        <f t="shared" ref="BR38" si="86">SUM(BR31:BR34)/12*BR22+(((BR37+BR36+BR35)*BR22*BR24)/12)+BR30+BR28+BR29</f>
        <v>0</v>
      </c>
      <c r="BS38" s="1530">
        <f t="shared" ref="BS38" si="87">SUM(BS31:BS34)/12*BS22+(((BS37+BS36+BS35)*BS22*BS24)/12)+BS30+BS28+BS29</f>
        <v>0</v>
      </c>
      <c r="BT38" s="1530">
        <f t="shared" ref="BT38" si="88">SUM(BT31:BT34)/12*BT22+(((BT37+BT36+BT35)*BT22*BT24)/12)+BT30+BT28+BT29</f>
        <v>0</v>
      </c>
      <c r="BU38" s="1530">
        <f t="shared" ref="BU38" si="89">SUM(BU31:BU34)/12*BU22+(((BU37+BU36+BU35)*BU22*BU24)/12)+BU30+BU28+BU29</f>
        <v>0</v>
      </c>
      <c r="BV38" s="1530">
        <f t="shared" ref="BV38" si="90">SUM(BV31:BV34)/12*BV22+(((BV37+BV36+BV35)*BV22*BV24)/12)+BV30+BV28+BV29</f>
        <v>0</v>
      </c>
      <c r="BW38" s="1530">
        <f t="shared" ref="BW38" si="91">SUM(BW31:BW34)/12*BW22+(((BW37+BW36+BW35)*BW22*BW24)/12)+BW30+BW28+BW29</f>
        <v>0</v>
      </c>
      <c r="BX38" s="1528">
        <f t="shared" ref="BX38" si="92">SUM(BX31:BX34)/12*BX22+(((BX37+BX36+BX35)*BX22*BX24)/12)+BX30+BX28+BX29</f>
        <v>0</v>
      </c>
      <c r="BY38" s="1495"/>
      <c r="BZ38" s="1494"/>
      <c r="CA38" s="1529">
        <f t="shared" ref="CA38:CH38" si="93">SUM(CA31:CA34)/12*CA22+(((CA37+CA36+CA35)*CA22*CA24)/12)+CA30+CA28</f>
        <v>0</v>
      </c>
      <c r="CB38" s="1530">
        <f t="shared" si="93"/>
        <v>0</v>
      </c>
      <c r="CC38" s="1530">
        <f t="shared" si="93"/>
        <v>0</v>
      </c>
      <c r="CD38" s="1530">
        <f t="shared" si="93"/>
        <v>0</v>
      </c>
      <c r="CE38" s="1530">
        <f t="shared" si="93"/>
        <v>0</v>
      </c>
      <c r="CF38" s="1530">
        <f t="shared" si="93"/>
        <v>0</v>
      </c>
      <c r="CG38" s="1530">
        <f t="shared" si="93"/>
        <v>0</v>
      </c>
      <c r="CH38" s="1528">
        <f t="shared" si="93"/>
        <v>0</v>
      </c>
      <c r="CI38" s="1495"/>
      <c r="CJ38" s="1494"/>
      <c r="CK38" s="2095">
        <f t="shared" ref="CK38:CU38" si="94">SUM(CK31:CK34)/12*CK22+(((CK37+CK36+CK35)*CK22*CK24)/12)+CK30+CK28</f>
        <v>0</v>
      </c>
      <c r="CL38" s="2208">
        <f t="shared" si="94"/>
        <v>0</v>
      </c>
      <c r="CM38" s="2208">
        <f t="shared" si="94"/>
        <v>0</v>
      </c>
      <c r="CN38" s="2208">
        <f t="shared" si="94"/>
        <v>0</v>
      </c>
      <c r="CO38" s="2208">
        <f t="shared" si="94"/>
        <v>0</v>
      </c>
      <c r="CP38" s="2208">
        <f t="shared" si="94"/>
        <v>0</v>
      </c>
      <c r="CQ38" s="2208">
        <f t="shared" si="94"/>
        <v>0</v>
      </c>
      <c r="CR38" s="2208">
        <f t="shared" si="94"/>
        <v>0</v>
      </c>
      <c r="CS38" s="2208">
        <f t="shared" si="94"/>
        <v>0</v>
      </c>
      <c r="CT38" s="2208">
        <f t="shared" si="94"/>
        <v>0</v>
      </c>
      <c r="CU38" s="2143">
        <f t="shared" si="94"/>
        <v>0</v>
      </c>
      <c r="CV38" s="2484"/>
      <c r="CW38" s="1494"/>
      <c r="CX38" s="1529">
        <f>SUM(CX31:CX34)/12*CX22+(((CX37+CX36+CX35)*CX22*CX24)/12)+CX30+CX28</f>
        <v>0</v>
      </c>
      <c r="CY38" s="1530">
        <f>SUM(CY31:CY34)/12*CY22+(((CY37+CY36+CY35)*CY22*CY24)/12)+CY30+CY28</f>
        <v>0</v>
      </c>
      <c r="CZ38" s="1530">
        <f>SUM(CZ31:CZ34)/12*CZ22+(((CZ37+CZ36+CZ35)*CZ22*CZ24)/12)+CZ30+CZ28</f>
        <v>0</v>
      </c>
      <c r="DA38" s="1530">
        <f>SUM(DA31:DA34)/12*DA22+(((DA37+DA36+DA35)*DA22*DA24)/12)+DA30+DA28</f>
        <v>0</v>
      </c>
      <c r="DB38" s="1528">
        <f>SUM(DB31:DB34)/12*DB22+(((DB37+DB36+DB35)*DB22*DB24)/12)+DB30+DB28</f>
        <v>0</v>
      </c>
      <c r="DC38" s="1495"/>
      <c r="DD38" s="1494"/>
    </row>
    <row r="39" spans="1:119" ht="24" customHeight="1">
      <c r="A39" s="3062" t="s">
        <v>660</v>
      </c>
      <c r="B39" s="3030"/>
      <c r="C39" s="2184"/>
      <c r="D39" s="2186"/>
      <c r="E39" s="2145"/>
      <c r="F39" s="2210"/>
      <c r="G39" s="1543"/>
      <c r="H39" s="1543"/>
      <c r="I39" s="1543"/>
      <c r="J39" s="1543"/>
      <c r="K39" s="1543"/>
      <c r="L39" s="1543"/>
      <c r="M39" s="1543"/>
      <c r="N39" s="1543"/>
      <c r="O39" s="1543"/>
      <c r="P39" s="1543"/>
      <c r="Q39" s="1543"/>
      <c r="R39" s="1543"/>
      <c r="S39" s="1543"/>
      <c r="T39" s="1543"/>
      <c r="U39" s="1541"/>
      <c r="V39" s="1540"/>
      <c r="W39" s="1541"/>
      <c r="X39" s="2231"/>
      <c r="Y39" s="2210"/>
      <c r="Z39" s="1544"/>
      <c r="AA39" s="1542"/>
      <c r="AB39" s="1543"/>
      <c r="AC39" s="1543"/>
      <c r="AD39" s="1543"/>
      <c r="AE39" s="1543"/>
      <c r="AF39" s="1543"/>
      <c r="AG39" s="1543"/>
      <c r="AH39" s="1543"/>
      <c r="AI39" s="1543"/>
      <c r="AJ39" s="1543"/>
      <c r="AK39" s="1543"/>
      <c r="AL39" s="1543"/>
      <c r="AM39" s="1543"/>
      <c r="AN39" s="1543"/>
      <c r="AO39" s="1543"/>
      <c r="AP39" s="1543"/>
      <c r="AQ39" s="1544"/>
      <c r="AR39" s="2231"/>
      <c r="AS39" s="2210"/>
      <c r="AT39" s="2210"/>
      <c r="AU39" s="2266"/>
      <c r="AV39" s="2145"/>
      <c r="AW39" s="2210"/>
      <c r="AX39" s="2210"/>
      <c r="AY39" s="2266"/>
      <c r="AZ39" s="1540"/>
      <c r="BA39" s="1541"/>
      <c r="BB39" s="2231"/>
      <c r="BC39" s="2145"/>
      <c r="BD39" s="1543"/>
      <c r="BE39" s="1543"/>
      <c r="BF39" s="1543"/>
      <c r="BG39" s="1543"/>
      <c r="BH39" s="1543"/>
      <c r="BI39" s="1543"/>
      <c r="BJ39" s="1543"/>
      <c r="BK39" s="1543"/>
      <c r="BL39" s="1541"/>
      <c r="BM39" s="1542"/>
      <c r="BN39" s="1541"/>
      <c r="BO39" s="1542"/>
      <c r="BP39" s="1543"/>
      <c r="BQ39" s="1543"/>
      <c r="BR39" s="1543"/>
      <c r="BS39" s="1543"/>
      <c r="BT39" s="1543"/>
      <c r="BU39" s="1543"/>
      <c r="BV39" s="1543"/>
      <c r="BW39" s="1543"/>
      <c r="BX39" s="1541"/>
      <c r="BY39" s="1542"/>
      <c r="BZ39" s="1541"/>
      <c r="CA39" s="1542"/>
      <c r="CB39" s="1543"/>
      <c r="CC39" s="1543"/>
      <c r="CD39" s="1543"/>
      <c r="CE39" s="1543"/>
      <c r="CF39" s="1543"/>
      <c r="CG39" s="1543"/>
      <c r="CH39" s="1541"/>
      <c r="CI39" s="1542"/>
      <c r="CJ39" s="1541"/>
      <c r="CK39" s="1551"/>
      <c r="CL39" s="1552"/>
      <c r="CM39" s="1552"/>
      <c r="CN39" s="1552"/>
      <c r="CO39" s="1543"/>
      <c r="CP39" s="1543"/>
      <c r="CQ39" s="1543"/>
      <c r="CR39" s="1543"/>
      <c r="CS39" s="1543"/>
      <c r="CT39" s="1552"/>
      <c r="CU39" s="1544"/>
      <c r="CV39" s="1542"/>
      <c r="CW39" s="1541"/>
      <c r="CX39" s="1551"/>
      <c r="CY39" s="1543"/>
      <c r="CZ39" s="1552"/>
      <c r="DA39" s="1543"/>
      <c r="DB39" s="1553"/>
      <c r="DC39" s="1542"/>
      <c r="DD39" s="1541"/>
      <c r="DE39" s="62" t="s">
        <v>661</v>
      </c>
    </row>
    <row r="40" spans="1:119" ht="24" customHeight="1">
      <c r="A40" s="3029" t="s">
        <v>660</v>
      </c>
      <c r="B40" s="3030"/>
      <c r="C40" s="2184"/>
      <c r="D40" s="2186"/>
      <c r="E40" s="2145"/>
      <c r="F40" s="2210"/>
      <c r="G40" s="1543"/>
      <c r="H40" s="1543"/>
      <c r="I40" s="1543"/>
      <c r="J40" s="1543"/>
      <c r="K40" s="1543"/>
      <c r="L40" s="1543"/>
      <c r="M40" s="1543"/>
      <c r="N40" s="1543"/>
      <c r="O40" s="1543"/>
      <c r="P40" s="1543"/>
      <c r="Q40" s="1543"/>
      <c r="R40" s="1543"/>
      <c r="S40" s="1543"/>
      <c r="T40" s="1543"/>
      <c r="U40" s="1541"/>
      <c r="V40" s="1540"/>
      <c r="W40" s="1541"/>
      <c r="X40" s="2231"/>
      <c r="Y40" s="2210"/>
      <c r="Z40" s="1544"/>
      <c r="AA40" s="1542"/>
      <c r="AB40" s="1543"/>
      <c r="AC40" s="1543"/>
      <c r="AD40" s="1543"/>
      <c r="AE40" s="1543"/>
      <c r="AF40" s="1543"/>
      <c r="AG40" s="1543"/>
      <c r="AH40" s="1543"/>
      <c r="AI40" s="1543"/>
      <c r="AJ40" s="1543"/>
      <c r="AK40" s="1543"/>
      <c r="AL40" s="1543"/>
      <c r="AM40" s="1543"/>
      <c r="AN40" s="1543"/>
      <c r="AO40" s="1543"/>
      <c r="AP40" s="1543"/>
      <c r="AQ40" s="1544"/>
      <c r="AR40" s="2231"/>
      <c r="AS40" s="2210"/>
      <c r="AT40" s="2210"/>
      <c r="AU40" s="2266"/>
      <c r="AV40" s="2145"/>
      <c r="AW40" s="2210"/>
      <c r="AX40" s="2210"/>
      <c r="AY40" s="2266"/>
      <c r="AZ40" s="1540"/>
      <c r="BA40" s="1541"/>
      <c r="BB40" s="2231"/>
      <c r="BC40" s="2145"/>
      <c r="BD40" s="1543"/>
      <c r="BE40" s="1543"/>
      <c r="BF40" s="1543"/>
      <c r="BG40" s="1543"/>
      <c r="BH40" s="1543"/>
      <c r="BI40" s="1543"/>
      <c r="BJ40" s="1543"/>
      <c r="BK40" s="1543"/>
      <c r="BL40" s="1541"/>
      <c r="BM40" s="1542"/>
      <c r="BN40" s="1541"/>
      <c r="BO40" s="1542"/>
      <c r="BP40" s="1543"/>
      <c r="BQ40" s="1543"/>
      <c r="BR40" s="1543"/>
      <c r="BS40" s="1543"/>
      <c r="BT40" s="1543"/>
      <c r="BU40" s="1543"/>
      <c r="BV40" s="1543"/>
      <c r="BW40" s="1543"/>
      <c r="BX40" s="1541"/>
      <c r="BY40" s="1542"/>
      <c r="BZ40" s="1541"/>
      <c r="CA40" s="1542"/>
      <c r="CB40" s="1543"/>
      <c r="CC40" s="1543"/>
      <c r="CD40" s="1543"/>
      <c r="CE40" s="1543"/>
      <c r="CF40" s="1543"/>
      <c r="CG40" s="1543"/>
      <c r="CH40" s="1541"/>
      <c r="CI40" s="1542"/>
      <c r="CJ40" s="1541"/>
      <c r="CK40" s="1551"/>
      <c r="CL40" s="1552"/>
      <c r="CM40" s="1552"/>
      <c r="CN40" s="1552"/>
      <c r="CO40" s="1543"/>
      <c r="CP40" s="1543"/>
      <c r="CQ40" s="1543"/>
      <c r="CR40" s="1543"/>
      <c r="CS40" s="1543"/>
      <c r="CT40" s="1552"/>
      <c r="CU40" s="1544"/>
      <c r="CV40" s="1542"/>
      <c r="CW40" s="1541"/>
      <c r="CX40" s="1551"/>
      <c r="CY40" s="1543"/>
      <c r="CZ40" s="1552"/>
      <c r="DA40" s="1543"/>
      <c r="DB40" s="1553"/>
      <c r="DC40" s="1542"/>
      <c r="DD40" s="1541"/>
      <c r="DE40" s="62" t="s">
        <v>661</v>
      </c>
    </row>
    <row r="41" spans="1:119" ht="23" customHeight="1">
      <c r="A41" s="3031" t="s">
        <v>1540</v>
      </c>
      <c r="B41" s="3030"/>
      <c r="C41" s="2184"/>
      <c r="D41" s="2186"/>
      <c r="E41" s="2145"/>
      <c r="F41" s="2210"/>
      <c r="G41" s="1543"/>
      <c r="H41" s="1543"/>
      <c r="I41" s="1543"/>
      <c r="J41" s="1543"/>
      <c r="K41" s="1543"/>
      <c r="L41" s="1543"/>
      <c r="M41" s="1543"/>
      <c r="N41" s="1543"/>
      <c r="O41" s="1543"/>
      <c r="P41" s="1543"/>
      <c r="Q41" s="1543"/>
      <c r="R41" s="1543"/>
      <c r="S41" s="1543"/>
      <c r="T41" s="1543"/>
      <c r="U41" s="1541"/>
      <c r="V41" s="1493"/>
      <c r="W41" s="1494"/>
      <c r="X41" s="2231"/>
      <c r="Y41" s="2210"/>
      <c r="Z41" s="1544"/>
      <c r="AA41" s="1542"/>
      <c r="AB41" s="1543"/>
      <c r="AC41" s="1543"/>
      <c r="AD41" s="1543"/>
      <c r="AE41" s="1543"/>
      <c r="AF41" s="1543"/>
      <c r="AG41" s="1543"/>
      <c r="AH41" s="1543"/>
      <c r="AI41" s="1543"/>
      <c r="AJ41" s="1543"/>
      <c r="AK41" s="1543"/>
      <c r="AL41" s="1543"/>
      <c r="AM41" s="1543"/>
      <c r="AN41" s="1543"/>
      <c r="AO41" s="1543"/>
      <c r="AP41" s="1543"/>
      <c r="AQ41" s="1544"/>
      <c r="AR41" s="2231"/>
      <c r="AS41" s="2210"/>
      <c r="AT41" s="2210"/>
      <c r="AU41" s="2266"/>
      <c r="AV41" s="2145"/>
      <c r="AW41" s="2210"/>
      <c r="AX41" s="2210"/>
      <c r="AY41" s="2266"/>
      <c r="AZ41" s="1493"/>
      <c r="BA41" s="1494"/>
      <c r="BB41" s="2231"/>
      <c r="BC41" s="2145"/>
      <c r="BD41" s="1543"/>
      <c r="BE41" s="1543"/>
      <c r="BF41" s="1543"/>
      <c r="BG41" s="1543"/>
      <c r="BH41" s="1543"/>
      <c r="BI41" s="1543"/>
      <c r="BJ41" s="1543"/>
      <c r="BK41" s="1543"/>
      <c r="BL41" s="1541"/>
      <c r="BM41" s="1495"/>
      <c r="BN41" s="1494"/>
      <c r="BO41" s="1542"/>
      <c r="BP41" s="1543"/>
      <c r="BQ41" s="1543"/>
      <c r="BR41" s="1543"/>
      <c r="BS41" s="1543"/>
      <c r="BT41" s="1543"/>
      <c r="BU41" s="1543"/>
      <c r="BV41" s="1543"/>
      <c r="BW41" s="1543"/>
      <c r="BX41" s="1541"/>
      <c r="BY41" s="1495"/>
      <c r="BZ41" s="1494"/>
      <c r="CA41" s="1542"/>
      <c r="CB41" s="1543"/>
      <c r="CC41" s="1543"/>
      <c r="CD41" s="1543"/>
      <c r="CE41" s="1543"/>
      <c r="CF41" s="1543"/>
      <c r="CG41" s="1543"/>
      <c r="CH41" s="1541"/>
      <c r="CI41" s="1495"/>
      <c r="CJ41" s="1494"/>
      <c r="CK41" s="1551"/>
      <c r="CL41" s="1552"/>
      <c r="CM41" s="1552"/>
      <c r="CN41" s="1552"/>
      <c r="CO41" s="1543"/>
      <c r="CP41" s="1543"/>
      <c r="CQ41" s="1543"/>
      <c r="CR41" s="1543"/>
      <c r="CS41" s="1543"/>
      <c r="CT41" s="1552"/>
      <c r="CU41" s="1544"/>
      <c r="CV41" s="1495"/>
      <c r="CW41" s="1494"/>
      <c r="CX41" s="1551"/>
      <c r="CY41" s="1543"/>
      <c r="CZ41" s="1552"/>
      <c r="DA41" s="1543"/>
      <c r="DB41" s="1553"/>
      <c r="DC41" s="1495"/>
      <c r="DD41" s="1494"/>
      <c r="DE41" s="62" t="s">
        <v>662</v>
      </c>
    </row>
    <row r="42" spans="1:119" ht="24" customHeight="1">
      <c r="A42" s="3029" t="s">
        <v>510</v>
      </c>
      <c r="B42" s="3030"/>
      <c r="C42" s="2187">
        <f t="shared" ref="C42:U42" si="95">C27+SUM(C38:C41)+IF(C18="Ja",(C27+C38+C39+C40)*0.8%)</f>
        <v>0</v>
      </c>
      <c r="D42" s="2188">
        <f t="shared" si="95"/>
        <v>0</v>
      </c>
      <c r="E42" s="2100">
        <f t="shared" si="95"/>
        <v>0</v>
      </c>
      <c r="F42" s="2211">
        <f t="shared" ref="F42" si="96">F27+SUM(F38:F41)+IF(F18="Ja",(F27+F38+F39+F40)*0.8%)</f>
        <v>0</v>
      </c>
      <c r="G42" s="1554">
        <f t="shared" si="95"/>
        <v>0</v>
      </c>
      <c r="H42" s="1554">
        <f t="shared" si="95"/>
        <v>0</v>
      </c>
      <c r="I42" s="1554">
        <f t="shared" ref="I42" si="97">I27+SUM(I38:I41)+IF(I18="Ja",(I27+I38+I39+I40)*0.8%)</f>
        <v>0</v>
      </c>
      <c r="J42" s="1554">
        <f t="shared" si="95"/>
        <v>0</v>
      </c>
      <c r="K42" s="1554">
        <f t="shared" si="95"/>
        <v>0</v>
      </c>
      <c r="L42" s="1554">
        <f t="shared" si="95"/>
        <v>0</v>
      </c>
      <c r="M42" s="1554">
        <f t="shared" si="95"/>
        <v>0</v>
      </c>
      <c r="N42" s="1554">
        <f t="shared" si="95"/>
        <v>0</v>
      </c>
      <c r="O42" s="1554">
        <f t="shared" si="95"/>
        <v>0</v>
      </c>
      <c r="P42" s="1554">
        <f t="shared" si="95"/>
        <v>0</v>
      </c>
      <c r="Q42" s="1554">
        <f t="shared" si="95"/>
        <v>0</v>
      </c>
      <c r="R42" s="1554">
        <f t="shared" si="95"/>
        <v>0</v>
      </c>
      <c r="S42" s="1554">
        <f t="shared" si="95"/>
        <v>0</v>
      </c>
      <c r="T42" s="1554">
        <f t="shared" si="95"/>
        <v>0</v>
      </c>
      <c r="U42" s="1556">
        <f t="shared" si="95"/>
        <v>0</v>
      </c>
      <c r="V42" s="1557">
        <f>V26+((V39+V40)*V22)</f>
        <v>0</v>
      </c>
      <c r="W42" s="1556">
        <f>W26+((W39+W40)*W22)</f>
        <v>0</v>
      </c>
      <c r="X42" s="2232">
        <f t="shared" ref="X42:AJ42" si="98">X27+SUM(X38:X41)+IF(X18="Ja",(X27+X38+X39+X40)*0.8%)</f>
        <v>0</v>
      </c>
      <c r="Y42" s="2211">
        <f t="shared" ref="Y42" si="99">Y27+SUM(Y38:Y41)+IF(Y18="Ja",(Y27+Y38+Y39+Y40)*0.8%)</f>
        <v>0</v>
      </c>
      <c r="Z42" s="1558">
        <f t="shared" si="98"/>
        <v>0</v>
      </c>
      <c r="AA42" s="1555">
        <f t="shared" si="98"/>
        <v>0</v>
      </c>
      <c r="AB42" s="1554">
        <f t="shared" si="98"/>
        <v>0</v>
      </c>
      <c r="AC42" s="1554">
        <f t="shared" si="98"/>
        <v>0</v>
      </c>
      <c r="AD42" s="1554">
        <f t="shared" si="98"/>
        <v>0</v>
      </c>
      <c r="AE42" s="1554">
        <f t="shared" ref="AE42" si="100">AE27+SUM(AE38:AE41)+IF(AE18="Ja",(AE27+AE38+AE39+AE40)*0.8%)</f>
        <v>0</v>
      </c>
      <c r="AF42" s="1554">
        <f t="shared" si="98"/>
        <v>0</v>
      </c>
      <c r="AG42" s="1554">
        <f t="shared" si="98"/>
        <v>0</v>
      </c>
      <c r="AH42" s="1554">
        <f t="shared" si="98"/>
        <v>0</v>
      </c>
      <c r="AI42" s="1554">
        <f t="shared" si="98"/>
        <v>0</v>
      </c>
      <c r="AJ42" s="1554">
        <f t="shared" si="98"/>
        <v>0</v>
      </c>
      <c r="AK42" s="1554">
        <f t="shared" ref="AK42:AN42" si="101">AK27+SUM(AK38:AK41)+IF(AK18="Ja",(AK27+AK38+AK39+AK40)*0.8%)</f>
        <v>0</v>
      </c>
      <c r="AL42" s="1554">
        <f t="shared" si="101"/>
        <v>0</v>
      </c>
      <c r="AM42" s="1554">
        <f t="shared" si="101"/>
        <v>0</v>
      </c>
      <c r="AN42" s="1554">
        <f t="shared" si="101"/>
        <v>0</v>
      </c>
      <c r="AO42" s="1554">
        <f t="shared" ref="AO42:AV42" si="102">AO27+SUM(AO38:AO41)+IF(AO18="Ja",(AO27+AO38+AO39+AO40)*0.8%)</f>
        <v>0</v>
      </c>
      <c r="AP42" s="1554">
        <f t="shared" si="102"/>
        <v>0</v>
      </c>
      <c r="AQ42" s="1558">
        <f t="shared" si="102"/>
        <v>0</v>
      </c>
      <c r="AR42" s="2232">
        <f t="shared" si="102"/>
        <v>0</v>
      </c>
      <c r="AS42" s="2211">
        <f t="shared" si="102"/>
        <v>0</v>
      </c>
      <c r="AT42" s="2211">
        <f t="shared" si="102"/>
        <v>0</v>
      </c>
      <c r="AU42" s="2267">
        <f t="shared" si="102"/>
        <v>0</v>
      </c>
      <c r="AV42" s="1554">
        <f t="shared" si="102"/>
        <v>0</v>
      </c>
      <c r="AW42" s="1554">
        <f t="shared" ref="AW42:AY42" si="103">AW27+SUM(AW38:AW41)+IF(AW18="Ja",(AW27+AW38+AW39+AW40)*0.8%)</f>
        <v>0</v>
      </c>
      <c r="AX42" s="1554">
        <f t="shared" si="103"/>
        <v>0</v>
      </c>
      <c r="AY42" s="2267">
        <f t="shared" si="103"/>
        <v>0</v>
      </c>
      <c r="AZ42" s="1557">
        <f>AZ26+((AZ39+AZ40)*AZ22)</f>
        <v>0</v>
      </c>
      <c r="BA42" s="1556">
        <f>BA26+((BA39+BA40)*BA22)</f>
        <v>0</v>
      </c>
      <c r="BB42" s="2232">
        <f t="shared" ref="BB42:BL42" si="104">BB27+SUM(BB38:BB41)+IF(BB18="Ja",(BB27+BB38+BB39+BB40)*0.8%)</f>
        <v>0</v>
      </c>
      <c r="BC42" s="2100">
        <f t="shared" ref="BC42" si="105">BC27+SUM(BC38:BC41)+IF(BC18="Ja",(BC27+BC38+BC39+BC40)*0.8%)</f>
        <v>0</v>
      </c>
      <c r="BD42" s="1554">
        <f t="shared" si="104"/>
        <v>0</v>
      </c>
      <c r="BE42" s="1554">
        <f t="shared" si="104"/>
        <v>0</v>
      </c>
      <c r="BF42" s="1554">
        <f t="shared" si="104"/>
        <v>0</v>
      </c>
      <c r="BG42" s="1554">
        <f t="shared" si="104"/>
        <v>0</v>
      </c>
      <c r="BH42" s="1554">
        <f t="shared" si="104"/>
        <v>0</v>
      </c>
      <c r="BI42" s="1554">
        <f t="shared" si="104"/>
        <v>0</v>
      </c>
      <c r="BJ42" s="1554">
        <f t="shared" si="104"/>
        <v>0</v>
      </c>
      <c r="BK42" s="1554">
        <f t="shared" si="104"/>
        <v>0</v>
      </c>
      <c r="BL42" s="1556">
        <f t="shared" si="104"/>
        <v>0</v>
      </c>
      <c r="BM42" s="1555">
        <f>BM26+((BM39+BM40)*BM22)</f>
        <v>0</v>
      </c>
      <c r="BN42" s="1556">
        <f>BN26+((BN39+BN40)*BN22)</f>
        <v>0</v>
      </c>
      <c r="BO42" s="1555">
        <f t="shared" ref="BO42:BX42" si="106">BO27+SUM(BO38:BO41)+IF(BO18="Ja",(BO27+BO38+BO39+BO40)*0.8%)</f>
        <v>0</v>
      </c>
      <c r="BP42" s="1554">
        <f t="shared" si="106"/>
        <v>0</v>
      </c>
      <c r="BQ42" s="1554">
        <f t="shared" si="106"/>
        <v>0</v>
      </c>
      <c r="BR42" s="1554">
        <f t="shared" si="106"/>
        <v>0</v>
      </c>
      <c r="BS42" s="1554">
        <f t="shared" si="106"/>
        <v>0</v>
      </c>
      <c r="BT42" s="1554">
        <f t="shared" si="106"/>
        <v>0</v>
      </c>
      <c r="BU42" s="1554">
        <f t="shared" si="106"/>
        <v>0</v>
      </c>
      <c r="BV42" s="1554">
        <f t="shared" si="106"/>
        <v>0</v>
      </c>
      <c r="BW42" s="1554">
        <f t="shared" si="106"/>
        <v>0</v>
      </c>
      <c r="BX42" s="1556">
        <f t="shared" si="106"/>
        <v>0</v>
      </c>
      <c r="BY42" s="1555">
        <f>BY26+((BY39+BY40)*BY22)</f>
        <v>0</v>
      </c>
      <c r="BZ42" s="1556">
        <f>BZ26+((BZ39+BZ40)*BZ22)</f>
        <v>0</v>
      </c>
      <c r="CA42" s="1554">
        <f t="shared" ref="CA42:CH42" si="107">CA27+SUM(CA38:CA41)+IF(CA18="Ja",(CA27+CA38+CA39+CA40)*0.8%)</f>
        <v>0</v>
      </c>
      <c r="CB42" s="1554">
        <f t="shared" si="107"/>
        <v>0</v>
      </c>
      <c r="CC42" s="1554">
        <f t="shared" si="107"/>
        <v>0</v>
      </c>
      <c r="CD42" s="1554">
        <f t="shared" si="107"/>
        <v>0</v>
      </c>
      <c r="CE42" s="1554">
        <f t="shared" si="107"/>
        <v>0</v>
      </c>
      <c r="CF42" s="1554">
        <f t="shared" si="107"/>
        <v>0</v>
      </c>
      <c r="CG42" s="1554">
        <f t="shared" si="107"/>
        <v>0</v>
      </c>
      <c r="CH42" s="1554">
        <f t="shared" si="107"/>
        <v>0</v>
      </c>
      <c r="CI42" s="1555">
        <f>CI26+((CI39+CI40)*CI22)</f>
        <v>0</v>
      </c>
      <c r="CJ42" s="1556">
        <f>CJ26+((CJ39+CJ40)*CJ22)</f>
        <v>0</v>
      </c>
      <c r="CK42" s="1554">
        <f t="shared" ref="CK42:CU42" si="108">CK27+SUM(CK38:CK41)+IF(CK18="Ja",(CK27+CK38+CK39+CK40)*0.8%)</f>
        <v>0</v>
      </c>
      <c r="CL42" s="1554">
        <f t="shared" si="108"/>
        <v>0</v>
      </c>
      <c r="CM42" s="1554">
        <f t="shared" si="108"/>
        <v>0</v>
      </c>
      <c r="CN42" s="1554">
        <f t="shared" si="108"/>
        <v>0</v>
      </c>
      <c r="CO42" s="1554">
        <f t="shared" si="108"/>
        <v>0</v>
      </c>
      <c r="CP42" s="1554">
        <f t="shared" si="108"/>
        <v>0</v>
      </c>
      <c r="CQ42" s="1554">
        <f t="shared" si="108"/>
        <v>0</v>
      </c>
      <c r="CR42" s="1554">
        <f t="shared" si="108"/>
        <v>0</v>
      </c>
      <c r="CS42" s="1554">
        <f t="shared" si="108"/>
        <v>0</v>
      </c>
      <c r="CT42" s="1554">
        <f t="shared" si="108"/>
        <v>0</v>
      </c>
      <c r="CU42" s="1554">
        <f t="shared" si="108"/>
        <v>0</v>
      </c>
      <c r="CV42" s="1555">
        <f>CV26+((CV39+CV40)*CV22)</f>
        <v>0</v>
      </c>
      <c r="CW42" s="1556">
        <f>CW26+((CW39+CW40)*CW22)</f>
        <v>0</v>
      </c>
      <c r="CX42" s="1554">
        <f>CX27+SUM(CX38:CX41)+IF(CX18="Ja",(CX27+CX38+CX39+CX40)*0.8%)</f>
        <v>0</v>
      </c>
      <c r="CY42" s="1554">
        <f>CY27+SUM(CY38:CY41)+IF(CY18="Ja",(CY27+CY38+CY39+CY40)*0.8%)</f>
        <v>0</v>
      </c>
      <c r="CZ42" s="1554">
        <f>CZ27+SUM(CZ38:CZ41)+IF(CZ18="Ja",(CZ27+CZ38+CZ39+CZ40)*0.8%)</f>
        <v>0</v>
      </c>
      <c r="DA42" s="1554">
        <f>DA27+SUM(DA38:DA41)+IF(DA18="Ja",(DA27+DA38+DA39+DA40)*0.8%)</f>
        <v>0</v>
      </c>
      <c r="DB42" s="1554">
        <f>DB27+SUM(DB38:DB41)+IF(DB18="Ja",(DB27+DB38+DB39+DB40)*0.8%)</f>
        <v>0</v>
      </c>
      <c r="DC42" s="1555">
        <f>DC26+((DC39+DC40)*DC22)</f>
        <v>0</v>
      </c>
      <c r="DD42" s="1556">
        <f>DD26+((DD39+DD40)*DD22)</f>
        <v>0</v>
      </c>
    </row>
    <row r="43" spans="1:119" ht="24" customHeight="1">
      <c r="A43" s="3029" t="s">
        <v>663</v>
      </c>
      <c r="B43" s="3030"/>
      <c r="C43" s="2232">
        <f t="shared" ref="C43:U43" si="109">IF(C26&gt;0,ROUND(C20/100/3*(ROUND((ROUND(VLOOKUP(C8,skalalontabel,7,0)*C22*C24,0))/12,2)+ROUND(SUM(C37+C36)/12*C22*C24,2))+((C30+C29+C28)*C20%/3),2),0)+C34*C22/12*C20%/3+IF(C18="Ja",(C26+C38+C39+C40)*0.8%*C20%/3)</f>
        <v>0</v>
      </c>
      <c r="D43" s="2267">
        <f t="shared" si="109"/>
        <v>0</v>
      </c>
      <c r="E43" s="2100">
        <f t="shared" si="109"/>
        <v>0</v>
      </c>
      <c r="F43" s="2211">
        <f t="shared" si="109"/>
        <v>0</v>
      </c>
      <c r="G43" s="2211">
        <f t="shared" si="109"/>
        <v>0</v>
      </c>
      <c r="H43" s="2211">
        <f t="shared" si="109"/>
        <v>0</v>
      </c>
      <c r="I43" s="2211">
        <f t="shared" si="109"/>
        <v>0</v>
      </c>
      <c r="J43" s="2211">
        <f t="shared" si="109"/>
        <v>0</v>
      </c>
      <c r="K43" s="2211">
        <f t="shared" si="109"/>
        <v>0</v>
      </c>
      <c r="L43" s="2211">
        <f t="shared" si="109"/>
        <v>0</v>
      </c>
      <c r="M43" s="2211">
        <f t="shared" si="109"/>
        <v>0</v>
      </c>
      <c r="N43" s="2211">
        <f t="shared" si="109"/>
        <v>0</v>
      </c>
      <c r="O43" s="2211">
        <f t="shared" si="109"/>
        <v>0</v>
      </c>
      <c r="P43" s="2211">
        <f t="shared" si="109"/>
        <v>0</v>
      </c>
      <c r="Q43" s="2211">
        <f t="shared" si="109"/>
        <v>0</v>
      </c>
      <c r="R43" s="2211">
        <f t="shared" si="109"/>
        <v>0</v>
      </c>
      <c r="S43" s="2211">
        <f t="shared" si="109"/>
        <v>0</v>
      </c>
      <c r="T43" s="2211">
        <f t="shared" si="109"/>
        <v>0</v>
      </c>
      <c r="U43" s="2267">
        <f t="shared" si="109"/>
        <v>0</v>
      </c>
      <c r="V43" s="1557">
        <f>(V26*V20%)/3</f>
        <v>0</v>
      </c>
      <c r="W43" s="1556">
        <f>(W26*W20%)/3</f>
        <v>0</v>
      </c>
      <c r="X43" s="2232">
        <f t="shared" ref="X43:AQ43" si="110">IF(X26&gt;0,ROUND(X20/100/3*(ROUND((ROUND(VLOOKUP(X8,skalalontabel,7,0)*X22*X24,0))/12,2)+ROUND(SUM(X37+X36)/12*X22*X24,2))+((X30+X29+X28)*X20%/3),2),0)+X34*X22/12*X20%/3+IF(X18="Ja",(X26+X38+X39+X40)*0.8%*X20%/3)</f>
        <v>0</v>
      </c>
      <c r="Y43" s="2211">
        <f t="shared" si="110"/>
        <v>0</v>
      </c>
      <c r="Z43" s="2267">
        <f t="shared" si="110"/>
        <v>0</v>
      </c>
      <c r="AA43" s="2232">
        <f t="shared" si="110"/>
        <v>0</v>
      </c>
      <c r="AB43" s="2211">
        <f t="shared" si="110"/>
        <v>0</v>
      </c>
      <c r="AC43" s="2211">
        <f t="shared" si="110"/>
        <v>0</v>
      </c>
      <c r="AD43" s="2211">
        <f t="shared" si="110"/>
        <v>0</v>
      </c>
      <c r="AE43" s="2211">
        <f t="shared" si="110"/>
        <v>0</v>
      </c>
      <c r="AF43" s="2211">
        <f t="shared" si="110"/>
        <v>0</v>
      </c>
      <c r="AG43" s="2211">
        <f t="shared" si="110"/>
        <v>0</v>
      </c>
      <c r="AH43" s="2211">
        <f t="shared" si="110"/>
        <v>0</v>
      </c>
      <c r="AI43" s="2211">
        <f t="shared" si="110"/>
        <v>0</v>
      </c>
      <c r="AJ43" s="2211">
        <f t="shared" si="110"/>
        <v>0</v>
      </c>
      <c r="AK43" s="2211">
        <f t="shared" si="110"/>
        <v>0</v>
      </c>
      <c r="AL43" s="2211">
        <f t="shared" si="110"/>
        <v>0</v>
      </c>
      <c r="AM43" s="2211">
        <f t="shared" si="110"/>
        <v>0</v>
      </c>
      <c r="AN43" s="2211">
        <f t="shared" si="110"/>
        <v>0</v>
      </c>
      <c r="AO43" s="2211">
        <f t="shared" si="110"/>
        <v>0</v>
      </c>
      <c r="AP43" s="2211">
        <f t="shared" si="110"/>
        <v>0</v>
      </c>
      <c r="AQ43" s="2267">
        <f t="shared" si="110"/>
        <v>0</v>
      </c>
      <c r="AR43" s="2250"/>
      <c r="AS43" s="2251"/>
      <c r="AT43" s="2251"/>
      <c r="AU43" s="2252"/>
      <c r="AV43" s="2211">
        <f t="shared" ref="AV43:AY43" si="111">IF(AV26&gt;0,ROUND(AV20/100/3*(ROUND((ROUND(VLOOKUP(AV8,skalalontabel,7,0)*AV22*AV24,0))/12,2)+ROUND(SUM(AV37+AV36)/12*AV22*AV24,2))+((AV30+AV29+AV28)*AV20%/3),2),0)+AV34*AV22/12*AV20%/3+IF(AV18="Ja",(AV26+AV38+AV39+AV40)*0.8%*AV20%/3)</f>
        <v>0</v>
      </c>
      <c r="AW43" s="2211">
        <f t="shared" si="111"/>
        <v>0</v>
      </c>
      <c r="AX43" s="2211">
        <f t="shared" si="111"/>
        <v>0</v>
      </c>
      <c r="AY43" s="2267">
        <f t="shared" si="111"/>
        <v>0</v>
      </c>
      <c r="AZ43" s="1557">
        <f>(AZ26*AZ20%)/3</f>
        <v>0</v>
      </c>
      <c r="BA43" s="1556">
        <f>(BA26*BA20%)/3</f>
        <v>0</v>
      </c>
      <c r="BB43" s="2232">
        <f t="shared" ref="BB43:BL43" si="112">IF(BB26&gt;0,ROUND(BB20/100/3*(ROUND((ROUND(VLOOKUP(BB8,skalalontabel,7,0)*BB22*BB24,0))/12,2)+ROUND(SUM(BB37+BB36)/12*BB22*BB24,2))+((BB30+BB29+BB28)*BB20%/3),2),0)+BB34*BB22/12*BB20%/3+IF(BB18="Ja",(BB26+BB38+BB39+BB40)*0.8%*BB20%/3)</f>
        <v>0</v>
      </c>
      <c r="BC43" s="2100">
        <f t="shared" si="112"/>
        <v>0</v>
      </c>
      <c r="BD43" s="2211">
        <f t="shared" si="112"/>
        <v>0</v>
      </c>
      <c r="BE43" s="2211">
        <f t="shared" si="112"/>
        <v>0</v>
      </c>
      <c r="BF43" s="2211">
        <f t="shared" si="112"/>
        <v>0</v>
      </c>
      <c r="BG43" s="2211">
        <f t="shared" si="112"/>
        <v>0</v>
      </c>
      <c r="BH43" s="2211">
        <f t="shared" si="112"/>
        <v>0</v>
      </c>
      <c r="BI43" s="2211">
        <f t="shared" si="112"/>
        <v>0</v>
      </c>
      <c r="BJ43" s="2211">
        <f t="shared" si="112"/>
        <v>0</v>
      </c>
      <c r="BK43" s="2211">
        <f t="shared" si="112"/>
        <v>0</v>
      </c>
      <c r="BL43" s="2267">
        <f t="shared" si="112"/>
        <v>0</v>
      </c>
      <c r="BM43" s="1555">
        <f>(BM26*BM20%)/3</f>
        <v>0</v>
      </c>
      <c r="BN43" s="1556">
        <f>(BN26*BN20%)/3</f>
        <v>0</v>
      </c>
      <c r="BO43" s="2211">
        <f t="shared" ref="BO43:BX43" si="113">IF(BO26&gt;0,ROUND(BO20/100/3*(ROUND((ROUND(VLOOKUP(BO8,skalalontabel,7,0)*BO22*BO24,0))/12,2)+ROUND(SUM(BO37+BO36)/12*BO22*BO24,2))+((BO30+BO29+BO28)*BO20%/3),2),0)+BO34*BO22/12*BO20%/3+IF(BO18="Ja",(BO26+BO38+BO39+BO40)*0.8%*BO20%/3)</f>
        <v>0</v>
      </c>
      <c r="BP43" s="2211">
        <f t="shared" si="113"/>
        <v>0</v>
      </c>
      <c r="BQ43" s="2211">
        <f t="shared" si="113"/>
        <v>0</v>
      </c>
      <c r="BR43" s="2211">
        <f t="shared" si="113"/>
        <v>0</v>
      </c>
      <c r="BS43" s="2211">
        <f t="shared" si="113"/>
        <v>0</v>
      </c>
      <c r="BT43" s="2211">
        <f t="shared" si="113"/>
        <v>0</v>
      </c>
      <c r="BU43" s="2211">
        <f t="shared" si="113"/>
        <v>0</v>
      </c>
      <c r="BV43" s="2211">
        <f t="shared" si="113"/>
        <v>0</v>
      </c>
      <c r="BW43" s="2211">
        <f t="shared" si="113"/>
        <v>0</v>
      </c>
      <c r="BX43" s="2211">
        <f t="shared" si="113"/>
        <v>0</v>
      </c>
      <c r="BY43" s="1555">
        <f>(BY26*BY20%)/3</f>
        <v>0</v>
      </c>
      <c r="BZ43" s="1556">
        <f>(BZ26*BZ20%)/3</f>
        <v>0</v>
      </c>
      <c r="CA43" s="1554">
        <f t="shared" ref="CA43:CH43" si="114">IF(CA26&gt;0,ROUND(CA20/100/3*(ROUND((ROUND(VLOOKUP(CA8,skalalontabel,7,0)*CA22*CA24,0))/12,2)+ROUND(SUM(CA37+CA36)/12*CA22*CA24,2))+((CA30+CA28)*CA20%/3),2),0)+CA34*CA22/12*CA20%/3+IF(CA18="Ja",(CA26+CA28+CA38+CA39+CA40)*0.8%*CA20%/3)</f>
        <v>0</v>
      </c>
      <c r="CB43" s="1554">
        <f t="shared" si="114"/>
        <v>0</v>
      </c>
      <c r="CC43" s="1554">
        <f t="shared" si="114"/>
        <v>0</v>
      </c>
      <c r="CD43" s="1554">
        <f t="shared" si="114"/>
        <v>0</v>
      </c>
      <c r="CE43" s="1554">
        <f t="shared" si="114"/>
        <v>0</v>
      </c>
      <c r="CF43" s="1554">
        <f t="shared" si="114"/>
        <v>0</v>
      </c>
      <c r="CG43" s="1554">
        <f t="shared" si="114"/>
        <v>0</v>
      </c>
      <c r="CH43" s="1554">
        <f t="shared" si="114"/>
        <v>0</v>
      </c>
      <c r="CI43" s="1555">
        <f>(CI26*CI20%)/3</f>
        <v>0</v>
      </c>
      <c r="CJ43" s="1556">
        <f>(CJ26*CJ20%)/3</f>
        <v>0</v>
      </c>
      <c r="CK43" s="1554">
        <f t="shared" ref="CK43:CU43" si="115">IF(CK26&gt;0,ROUND(CK20/100/3*(ROUND((ROUND(VLOOKUP(CK8,skalalontabel,7,0)*CK22*CK24,0))/12,2)+ROUND(SUM(CK37+CK36)/12*CK22*CK24,2))+((CK30+CK28)*CK20%/3),2),0)+CK34*CK22/12*CK20%/3+IF(CK18="Ja",(CK26+CK38+CK39+CK40)*0.8%*CK20%/3)</f>
        <v>0</v>
      </c>
      <c r="CL43" s="1554">
        <f t="shared" si="115"/>
        <v>0</v>
      </c>
      <c r="CM43" s="1554">
        <f t="shared" si="115"/>
        <v>0</v>
      </c>
      <c r="CN43" s="1554">
        <f>IF(CN26&gt;0,ROUND(CN20/100/3*(ROUND((ROUND(VLOOKUP(CN8,skalalontabel,7,0)*CN22*CN24,0))/12,2)+ROUND(SUM(CN37+CN36)/12*CN22*CN24,2))+((CN30+CN28)*CN20%/3),2),0)+CN34*CN22/12*CN20%/3+IF(CN18="Ja",(CN26+CN38+CN39+CN40)*0.8%*CN20%/3)</f>
        <v>0</v>
      </c>
      <c r="CO43" s="1554">
        <f t="shared" si="115"/>
        <v>0</v>
      </c>
      <c r="CP43" s="1554">
        <f t="shared" si="115"/>
        <v>0</v>
      </c>
      <c r="CQ43" s="1554">
        <f t="shared" si="115"/>
        <v>0</v>
      </c>
      <c r="CR43" s="1554">
        <f t="shared" si="115"/>
        <v>0</v>
      </c>
      <c r="CS43" s="1554">
        <f t="shared" si="115"/>
        <v>0</v>
      </c>
      <c r="CT43" s="1554">
        <f t="shared" si="115"/>
        <v>0</v>
      </c>
      <c r="CU43" s="1554">
        <f t="shared" si="115"/>
        <v>0</v>
      </c>
      <c r="CV43" s="1555">
        <f>(CV26*CV20%)/3</f>
        <v>0</v>
      </c>
      <c r="CW43" s="1556">
        <f>(CW26*CW20%)/3</f>
        <v>0</v>
      </c>
      <c r="CX43" s="1554">
        <f>IF(CX26&gt;0,ROUND(CX20/100/3*(ROUND((ROUND(VLOOKUP(CX8,skalalontabel,7,0)*CX22*CX24,0))/12,2)+ROUND(SUM(CX37+CX36)/12*CX22*CX24,2))+((CX30+CX28)*CX20%/3),2),0)+CX34*CX22/12*CX20%/3+IF(CX18="Ja",(CX26+CX38+CX39+CX40)*0.8%*CX20%/3)</f>
        <v>0</v>
      </c>
      <c r="CY43" s="1554">
        <f>IF(CY26&gt;0,ROUND(CY20/100/3*(ROUND((ROUND(VLOOKUP(CY8,skalalontabel,7,0)*CY22*CY24,0))/12,2)+ROUND(SUM(CY37+CY36)/12*CY22*CY24,2))+((CY30+CY28)*CY20%/3),2),0)+CY34*CY22/12*CY20%/3+IF(CY18="Ja",(CY26+CY38+CY39+CY40)*0.8%*CY20%/3)</f>
        <v>0</v>
      </c>
      <c r="CZ43" s="1554">
        <f>IF(CZ26&gt;0,ROUND(CZ20/100/3*(ROUND((ROUND(VLOOKUP(CZ8,skalalontabel,7,0)*CZ22*CZ24,0))/12,2)+ROUND(SUM(CZ37+CZ36)/12*CZ22*CZ24,2))+((CZ30+CZ28)*CZ20%/3),2),0)+CZ34*CZ22/12*CZ20%/3+IF(CZ18="Ja",(CZ26+CZ38+CZ39+CZ40)*0.8%*CZ20%/3)</f>
        <v>0</v>
      </c>
      <c r="DA43" s="1554">
        <f>IF(DA26&gt;0,ROUND(DA20/100/3*(ROUND((ROUND(VLOOKUP(DA8,skalalontabel,7,0)*DA22*DA24,0))/12,2)+ROUND(SUM(DA37+DA36)/12*DA22*DA24,2))+((DA30+DA28)*DA20%/3),2),0)+DA34*DA22/12*DA20%/3+IF(DA18="Ja",(DA26+DA38+DA39+DA40)*0.8%*DA20%/3)</f>
        <v>0</v>
      </c>
      <c r="DB43" s="1554">
        <f>IF(DB26&gt;0,ROUND(DB20/100/3*(ROUND((ROUND(VLOOKUP(DB8,skalalontabel,7,0)*DB22*DB24,0))/12,2)+ROUND(SUM(DB37+DB36)/12*DB22*DB24,2))+((DB30+DB28)*DB20%/3),2),0)+DB34*DB22/12*DB20%/3+IF(DB18="Ja",(DB26+DB38+DB39+DB40)*0.8%*DB20%/3)</f>
        <v>0</v>
      </c>
      <c r="DC43" s="1555">
        <f>(DC26*DC20%)/3</f>
        <v>0</v>
      </c>
      <c r="DD43" s="1556">
        <f>(DD26*DD20%)/3</f>
        <v>0</v>
      </c>
      <c r="DE43" s="62" t="s">
        <v>664</v>
      </c>
    </row>
    <row r="44" spans="1:119" ht="24" customHeight="1">
      <c r="A44" s="3029" t="s">
        <v>665</v>
      </c>
      <c r="B44" s="3030"/>
      <c r="C44" s="2187">
        <f t="shared" ref="C44:U44" si="116">IF(C26&gt;0,ROUND(C20/100/3*(ROUND((ROUND(VLOOKUP(C8,skalalontabel,7,0)*C22*C25,0))/12,2)+ROUND(SUM(C37+C36)/12*C22*C25,2))+(C34*C22/12*C25*C20%/3)+((C30+C29+C28)/C24*C25*C20%/3),2)+IF(C25&gt;0,-C43),0)</f>
        <v>0</v>
      </c>
      <c r="D44" s="2267">
        <f t="shared" si="116"/>
        <v>0</v>
      </c>
      <c r="E44" s="2100">
        <f t="shared" si="116"/>
        <v>0</v>
      </c>
      <c r="F44" s="2211">
        <f t="shared" ref="F44" si="117">IF(F26&gt;0,ROUND(F20/100/3*(ROUND((ROUND(VLOOKUP(F8,skalalontabel,7,0)*F22*F25,0))/12,2)+ROUND(SUM(F37+F36)/12*F22*F25,2))+(F34*F22/12*F25*F20%/3)+((F30+F29+F28)/F24*F25*F20%/3),2)+IF(F25&gt;0,-F43),0)</f>
        <v>0</v>
      </c>
      <c r="G44" s="2211">
        <f t="shared" si="116"/>
        <v>0</v>
      </c>
      <c r="H44" s="2211">
        <f t="shared" si="116"/>
        <v>0</v>
      </c>
      <c r="I44" s="2211">
        <f t="shared" ref="I44" si="118">IF(I26&gt;0,ROUND(I20/100/3*(ROUND((ROUND(VLOOKUP(I8,skalalontabel,7,0)*I22*I25,0))/12,2)+ROUND(SUM(I37+I36)/12*I22*I25,2))+(I34*I22/12*I25*I20%/3)+((I30+I29+I28)/I24*I25*I20%/3),2)+IF(I25&gt;0,-I43),0)</f>
        <v>0</v>
      </c>
      <c r="J44" s="2211">
        <f t="shared" si="116"/>
        <v>0</v>
      </c>
      <c r="K44" s="2211">
        <f t="shared" si="116"/>
        <v>0</v>
      </c>
      <c r="L44" s="2211">
        <f t="shared" si="116"/>
        <v>0</v>
      </c>
      <c r="M44" s="2211">
        <f t="shared" si="116"/>
        <v>0</v>
      </c>
      <c r="N44" s="2211">
        <f t="shared" si="116"/>
        <v>0</v>
      </c>
      <c r="O44" s="2211">
        <f t="shared" si="116"/>
        <v>0</v>
      </c>
      <c r="P44" s="2211">
        <f t="shared" si="116"/>
        <v>0</v>
      </c>
      <c r="Q44" s="2211">
        <f t="shared" si="116"/>
        <v>0</v>
      </c>
      <c r="R44" s="2211">
        <f t="shared" si="116"/>
        <v>0</v>
      </c>
      <c r="S44" s="2211">
        <f t="shared" si="116"/>
        <v>0</v>
      </c>
      <c r="T44" s="2211">
        <f t="shared" si="116"/>
        <v>0</v>
      </c>
      <c r="U44" s="2267">
        <f t="shared" si="116"/>
        <v>0</v>
      </c>
      <c r="V44" s="1557">
        <v>0</v>
      </c>
      <c r="W44" s="1556">
        <v>0</v>
      </c>
      <c r="X44" s="2232">
        <f t="shared" ref="X44:AJ44" si="119">IF(X26&gt;0,ROUND(X20/100/3*(ROUND((ROUND(VLOOKUP(X8,skalalontabel,7,0)*X22*X25,0))/12,2)+ROUND(SUM(X37+X36)/12*X22*X25,2))+(X34*X22/12*X25*X20%/3)+((X30+X29+X28)/X24*X25*X20%/3),2)+IF(X25&gt;0,-X43),0)</f>
        <v>0</v>
      </c>
      <c r="Y44" s="2211">
        <f t="shared" ref="Y44" si="120">IF(Y26&gt;0,ROUND(Y20/100/3*(ROUND((ROUND(VLOOKUP(Y8,skalalontabel,7,0)*Y22*Y25,0))/12,2)+ROUND(SUM(Y37+Y36)/12*Y22*Y25,2))+(Y34*Y22/12*Y25*Y20%/3)+((Y30+Y29+Y28)/Y24*Y25*Y20%/3),2)+IF(Y25&gt;0,-Y43),0)</f>
        <v>0</v>
      </c>
      <c r="Z44" s="1558">
        <f t="shared" si="119"/>
        <v>0</v>
      </c>
      <c r="AA44" s="1555">
        <f t="shared" si="119"/>
        <v>0</v>
      </c>
      <c r="AB44" s="1554">
        <f t="shared" si="119"/>
        <v>0</v>
      </c>
      <c r="AC44" s="1554">
        <f t="shared" si="119"/>
        <v>0</v>
      </c>
      <c r="AD44" s="1554">
        <f t="shared" si="119"/>
        <v>0</v>
      </c>
      <c r="AE44" s="1554">
        <f t="shared" ref="AE44" si="121">IF(AE26&gt;0,ROUND(AE20/100/3*(ROUND((ROUND(VLOOKUP(AE8,skalalontabel,7,0)*AE22*AE25,0))/12,2)+ROUND(SUM(AE37+AE36)/12*AE22*AE25,2))+(AE34*AE22/12*AE25*AE20%/3)+((AE30+AE29+AE28)/AE24*AE25*AE20%/3),2)+IF(AE25&gt;0,-AE43),0)</f>
        <v>0</v>
      </c>
      <c r="AF44" s="1554">
        <f t="shared" si="119"/>
        <v>0</v>
      </c>
      <c r="AG44" s="1554">
        <f t="shared" si="119"/>
        <v>0</v>
      </c>
      <c r="AH44" s="1554">
        <f t="shared" si="119"/>
        <v>0</v>
      </c>
      <c r="AI44" s="1554">
        <f t="shared" si="119"/>
        <v>0</v>
      </c>
      <c r="AJ44" s="1554">
        <f t="shared" si="119"/>
        <v>0</v>
      </c>
      <c r="AK44" s="1554">
        <f t="shared" ref="AK44:AN44" si="122">IF(AK26&gt;0,ROUND(AK20/100/3*(ROUND((ROUND(VLOOKUP(AK8,skalalontabel,7,0)*AK22*AK25,0))/12,2)+ROUND(SUM(AK37+AK36)/12*AK22*AK25,2))+(AK34*AK22/12*AK25*AK20%/3)+((AK30+AK29+AK28)/AK24*AK25*AK20%/3),2)+IF(AK25&gt;0,-AK43),0)</f>
        <v>0</v>
      </c>
      <c r="AL44" s="1554">
        <f t="shared" si="122"/>
        <v>0</v>
      </c>
      <c r="AM44" s="1554">
        <f t="shared" si="122"/>
        <v>0</v>
      </c>
      <c r="AN44" s="1554">
        <f t="shared" si="122"/>
        <v>0</v>
      </c>
      <c r="AO44" s="1554">
        <f t="shared" ref="AO44:AQ44" si="123">IF(AO26&gt;0,ROUND(AO20/100/3*(ROUND((ROUND(VLOOKUP(AO8,skalalontabel,7,0)*AO22*AO25,0))/12,2)+ROUND(SUM(AO37+AO36)/12*AO22*AO25,2))+(AO34*AO22/12*AO25*AO20%/3)+((AO30+AO29+AO28)/AO24*AO25*AO20%/3),2)+IF(AO25&gt;0,-AO43),0)</f>
        <v>0</v>
      </c>
      <c r="AP44" s="1554">
        <f t="shared" si="123"/>
        <v>0</v>
      </c>
      <c r="AQ44" s="1558">
        <f t="shared" si="123"/>
        <v>0</v>
      </c>
      <c r="AR44" s="2250"/>
      <c r="AS44" s="2251"/>
      <c r="AT44" s="2251"/>
      <c r="AU44" s="2252"/>
      <c r="AV44" s="1554">
        <f t="shared" ref="AV44:AY44" si="124">IF(AV26&gt;0,ROUND(AV20/100/3*(ROUND((ROUND(VLOOKUP(AV8,skalalontabel,7,0)*AV22*AV25,0))/12,2)+ROUND(SUM(AV37+AV36)/12*AV22*AV25,2))+(AV34*AV22/12*AV25*AV20%/3)+((AV30+AV29+AV28)/AV24*AV25*AV20%/3),2)+IF(AV25&gt;0,-AV43),0)</f>
        <v>0</v>
      </c>
      <c r="AW44" s="1554">
        <f t="shared" si="124"/>
        <v>0</v>
      </c>
      <c r="AX44" s="1554">
        <f t="shared" si="124"/>
        <v>0</v>
      </c>
      <c r="AY44" s="2267">
        <f t="shared" si="124"/>
        <v>0</v>
      </c>
      <c r="AZ44" s="1557">
        <v>0</v>
      </c>
      <c r="BA44" s="1556">
        <v>0</v>
      </c>
      <c r="BB44" s="2232">
        <f t="shared" ref="BB44:BL44" si="125">IF(BB26&gt;0,ROUND(BB20/100/3*(ROUND((ROUND(VLOOKUP(BB8,skalalontabel,7,0)*BB22*BB25,0))/12,2)+ROUND(SUM(BB37+BB36)/12*BB22*BB25,2))+(BB34*BB22/12*BB25*BB20%/3)+((BB30+BB29+BB28)/BB24*BB25*BB20%/3),2)+IF(BB25&gt;0,-BB43),0)</f>
        <v>0</v>
      </c>
      <c r="BC44" s="2100">
        <f t="shared" ref="BC44" si="126">IF(BC26&gt;0,ROUND(BC20/100/3*(ROUND((ROUND(VLOOKUP(BC8,skalalontabel,7,0)*BC22*BC25,0))/12,2)+ROUND(SUM(BC37+BC36)/12*BC22*BC25,2))+(BC34*BC22/12*BC25*BC20%/3)+((BC30+BC29+BC28)/BC24*BC25*BC20%/3),2)+IF(BC25&gt;0,-BC43),0)</f>
        <v>0</v>
      </c>
      <c r="BD44" s="1554">
        <f t="shared" si="125"/>
        <v>0</v>
      </c>
      <c r="BE44" s="1554">
        <f t="shared" si="125"/>
        <v>0</v>
      </c>
      <c r="BF44" s="1554">
        <f t="shared" si="125"/>
        <v>0</v>
      </c>
      <c r="BG44" s="1554">
        <f t="shared" si="125"/>
        <v>0</v>
      </c>
      <c r="BH44" s="1554">
        <f t="shared" si="125"/>
        <v>0</v>
      </c>
      <c r="BI44" s="1554">
        <f t="shared" si="125"/>
        <v>0</v>
      </c>
      <c r="BJ44" s="1554">
        <f t="shared" si="125"/>
        <v>0</v>
      </c>
      <c r="BK44" s="1554">
        <f t="shared" si="125"/>
        <v>0</v>
      </c>
      <c r="BL44" s="1556">
        <f t="shared" si="125"/>
        <v>0</v>
      </c>
      <c r="BM44" s="1555">
        <v>0</v>
      </c>
      <c r="BN44" s="1556">
        <v>0</v>
      </c>
      <c r="BO44" s="1555">
        <f t="shared" ref="BO44:BX44" si="127">IF(BO26&gt;0,ROUND(BO20/100/3*(ROUND((ROUND(VLOOKUP(BO8,skalalontabel,7,0)*BO22*BO25,0))/12,2)+ROUND(SUM(BO37+BO36)/12*BO22*BO25,2))+(BO34*BO22/12*BO25*BO20%/3)+((BO30+BO29+BO28)/BO24*BO25*BO20%/3),2)+IF(BO25&gt;0,-BO43),0)</f>
        <v>0</v>
      </c>
      <c r="BP44" s="1554">
        <f t="shared" si="127"/>
        <v>0</v>
      </c>
      <c r="BQ44" s="1554">
        <f t="shared" si="127"/>
        <v>0</v>
      </c>
      <c r="BR44" s="1554">
        <f t="shared" si="127"/>
        <v>0</v>
      </c>
      <c r="BS44" s="1554">
        <f t="shared" si="127"/>
        <v>0</v>
      </c>
      <c r="BT44" s="1554">
        <f t="shared" si="127"/>
        <v>0</v>
      </c>
      <c r="BU44" s="1554">
        <f t="shared" si="127"/>
        <v>0</v>
      </c>
      <c r="BV44" s="1554">
        <f t="shared" si="127"/>
        <v>0</v>
      </c>
      <c r="BW44" s="1554">
        <f t="shared" si="127"/>
        <v>0</v>
      </c>
      <c r="BX44" s="1556">
        <f t="shared" si="127"/>
        <v>0</v>
      </c>
      <c r="BY44" s="1555">
        <v>0</v>
      </c>
      <c r="BZ44" s="1556">
        <v>0</v>
      </c>
      <c r="CA44" s="1555">
        <f t="shared" ref="CA44:CH44" si="128">IF(CA26&gt;0,ROUND(CA20/100/3*(ROUND((ROUND(VLOOKUP(CA8,skalalontabel,7,0)*CA22*CA25,0))/12,2)+ROUND(SUM(CA37+CA36)/12*CA22*CA25,2))+(CA34*CA22/12*CA25*CA20%/3)+((CA30+CA28)/CA24*CA25*CA20%/3),2)+IF(CA25&gt;0,-CA43),0)</f>
        <v>0</v>
      </c>
      <c r="CB44" s="1554">
        <f t="shared" si="128"/>
        <v>0</v>
      </c>
      <c r="CC44" s="1554">
        <f t="shared" si="128"/>
        <v>0</v>
      </c>
      <c r="CD44" s="1554">
        <f t="shared" si="128"/>
        <v>0</v>
      </c>
      <c r="CE44" s="1554">
        <f t="shared" si="128"/>
        <v>0</v>
      </c>
      <c r="CF44" s="1554">
        <f t="shared" si="128"/>
        <v>0</v>
      </c>
      <c r="CG44" s="1554">
        <f t="shared" si="128"/>
        <v>0</v>
      </c>
      <c r="CH44" s="1556">
        <f t="shared" si="128"/>
        <v>0</v>
      </c>
      <c r="CI44" s="1555">
        <v>0</v>
      </c>
      <c r="CJ44" s="1556">
        <v>0</v>
      </c>
      <c r="CK44" s="1555">
        <f t="shared" ref="CK44:CU44" si="129">IF(CK26&gt;0,ROUND(CK20/100/3*(ROUND((ROUND(VLOOKUP(CK8,skalalontabel,7,0)*CK22*CK25,0))/12,2)+ROUND(SUM(CK37+CK36)/12*CK22*CK25,2))+(CK34*CK22/12*CK25*CK20%/3)+((CK30+CK28)/CK24*CK25*CK20%/3),2)+IF(CK25&gt;0,-CK43),0)</f>
        <v>0</v>
      </c>
      <c r="CL44" s="1554">
        <f t="shared" si="129"/>
        <v>0</v>
      </c>
      <c r="CM44" s="1554">
        <f t="shared" si="129"/>
        <v>0</v>
      </c>
      <c r="CN44" s="1554">
        <f t="shared" si="129"/>
        <v>0</v>
      </c>
      <c r="CO44" s="1554">
        <f t="shared" si="129"/>
        <v>0</v>
      </c>
      <c r="CP44" s="1554">
        <f t="shared" si="129"/>
        <v>0</v>
      </c>
      <c r="CQ44" s="1554">
        <f t="shared" si="129"/>
        <v>0</v>
      </c>
      <c r="CR44" s="1554">
        <f t="shared" si="129"/>
        <v>0</v>
      </c>
      <c r="CS44" s="1554">
        <f t="shared" si="129"/>
        <v>0</v>
      </c>
      <c r="CT44" s="1554">
        <f t="shared" si="129"/>
        <v>0</v>
      </c>
      <c r="CU44" s="1556">
        <f t="shared" si="129"/>
        <v>0</v>
      </c>
      <c r="CV44" s="1555">
        <v>0</v>
      </c>
      <c r="CW44" s="1556">
        <v>0</v>
      </c>
      <c r="CX44" s="1555">
        <f>IF(CX26&gt;0,ROUND(CX20/100/3*(ROUND((ROUND(VLOOKUP(CX8,skalalontabel,7,0)*CX22*CX25,0))/12,2)+ROUND(SUM(CX37+CX36)/12*CX22*CX25,2))+(CX34*CX22/12*CX25*CX20%/3)+((CX30+CX28)/CX24*CX25*CX20%/3),2)+IF(CX25&gt;0,-CX43),0)</f>
        <v>0</v>
      </c>
      <c r="CY44" s="1554">
        <f>IF(CY26&gt;0,ROUND(CY20/100/3*(ROUND((ROUND(VLOOKUP(CY8,skalalontabel,7,0)*CY22*CY25,0))/12,2)+ROUND(SUM(CY37+CY36)/12*CY22*CY25,2))+(CY34*CY22/12*CY25*CY20%/3)+((CY30+CY28)/CY24*CY25*CY20%/3),2)+IF(CY25&gt;0,-CY43),0)</f>
        <v>0</v>
      </c>
      <c r="CZ44" s="1554">
        <f>IF(CZ26&gt;0,ROUND(CZ20/100/3*(ROUND((ROUND(VLOOKUP(CZ8,skalalontabel,7,0)*CZ22*CZ25,0))/12,2)+ROUND(SUM(CZ37+CZ36)/12*CZ22*CZ25,2))+(CZ34*CZ22/12*CZ25*CZ20%/3)+((CZ30+CZ28)/CZ24*CZ25*CZ20%/3),2)+IF(CZ25&gt;0,-CZ43),0)</f>
        <v>0</v>
      </c>
      <c r="DA44" s="1554">
        <f>IF(DA26&gt;0,ROUND(DA20/100/3*(ROUND((ROUND(VLOOKUP(DA8,skalalontabel,7,0)*DA22*DA25,0))/12,2)+ROUND(SUM(DA37+DA36)/12*DA22*DA25,2))+(DA34*DA22/12*DA25*DA20%/3)+((DA30+DA28)/DA24*DA25*DA20%/3),2)+IF(DA25&gt;0,-DA43),0)</f>
        <v>0</v>
      </c>
      <c r="DB44" s="1556">
        <f>IF(DB26&gt;0,ROUND(DB20/100/3*(ROUND((ROUND(VLOOKUP(DB8,skalalontabel,7,0)*DB22*DB25,0))/12,2)+ROUND(SUM(DB37+DB36)/12*DB22*DB25,2))+(DB34*DB22/12*DB25*DB20%/3)+((DB30+DB28)/DB24*DB25*DB20%/3),2)+IF(DB25&gt;0,-DB43),0)</f>
        <v>0</v>
      </c>
      <c r="DC44" s="1555">
        <v>0</v>
      </c>
      <c r="DD44" s="1556">
        <v>0</v>
      </c>
    </row>
    <row r="45" spans="1:119" ht="24" customHeight="1">
      <c r="A45" s="3029" t="s">
        <v>666</v>
      </c>
      <c r="B45" s="3030"/>
      <c r="C45" s="2187">
        <f t="shared" ref="C45:U45" si="130">IF(C21="JA",C42+C43+C44,C42)</f>
        <v>0</v>
      </c>
      <c r="D45" s="2188">
        <f t="shared" si="130"/>
        <v>0</v>
      </c>
      <c r="E45" s="2100">
        <f t="shared" si="130"/>
        <v>0</v>
      </c>
      <c r="F45" s="2211">
        <f t="shared" ref="F45" si="131">IF(F21="JA",F42+F43+F44,F42)</f>
        <v>0</v>
      </c>
      <c r="G45" s="1554">
        <f t="shared" si="130"/>
        <v>0</v>
      </c>
      <c r="H45" s="1554">
        <f t="shared" si="130"/>
        <v>0</v>
      </c>
      <c r="I45" s="1554">
        <f t="shared" ref="I45" si="132">IF(I21="JA",I42+I43+I44,I42)</f>
        <v>0</v>
      </c>
      <c r="J45" s="1554">
        <f t="shared" si="130"/>
        <v>0</v>
      </c>
      <c r="K45" s="1554">
        <f t="shared" si="130"/>
        <v>0</v>
      </c>
      <c r="L45" s="1554">
        <f t="shared" si="130"/>
        <v>0</v>
      </c>
      <c r="M45" s="1554">
        <f t="shared" si="130"/>
        <v>0</v>
      </c>
      <c r="N45" s="1554">
        <f t="shared" si="130"/>
        <v>0</v>
      </c>
      <c r="O45" s="1554">
        <f t="shared" si="130"/>
        <v>0</v>
      </c>
      <c r="P45" s="1554">
        <f t="shared" si="130"/>
        <v>0</v>
      </c>
      <c r="Q45" s="1554">
        <f t="shared" si="130"/>
        <v>0</v>
      </c>
      <c r="R45" s="1554">
        <f t="shared" si="130"/>
        <v>0</v>
      </c>
      <c r="S45" s="1554">
        <f t="shared" si="130"/>
        <v>0</v>
      </c>
      <c r="T45" s="1554">
        <f t="shared" si="130"/>
        <v>0</v>
      </c>
      <c r="U45" s="1556">
        <f t="shared" si="130"/>
        <v>0</v>
      </c>
      <c r="V45" s="1557">
        <f>IF(V21="JA",V42+V43+V44,0)</f>
        <v>0</v>
      </c>
      <c r="W45" s="1557">
        <f>IF(W21="JA",W42+W43+W44,0)</f>
        <v>0</v>
      </c>
      <c r="X45" s="2232">
        <f t="shared" ref="X45:AJ45" si="133">IF(X21="JA",X42+X43+X44,X42)</f>
        <v>0</v>
      </c>
      <c r="Y45" s="2211">
        <f t="shared" ref="Y45" si="134">IF(Y21="JA",Y42+Y43+Y44,Y42)</f>
        <v>0</v>
      </c>
      <c r="Z45" s="1558">
        <f t="shared" si="133"/>
        <v>0</v>
      </c>
      <c r="AA45" s="1555">
        <f t="shared" si="133"/>
        <v>0</v>
      </c>
      <c r="AB45" s="1554">
        <f t="shared" si="133"/>
        <v>0</v>
      </c>
      <c r="AC45" s="1554">
        <f t="shared" si="133"/>
        <v>0</v>
      </c>
      <c r="AD45" s="1554">
        <f t="shared" si="133"/>
        <v>0</v>
      </c>
      <c r="AE45" s="1554">
        <f t="shared" ref="AE45" si="135">IF(AE21="JA",AE42+AE43+AE44,AE42)</f>
        <v>0</v>
      </c>
      <c r="AF45" s="1554">
        <f t="shared" si="133"/>
        <v>0</v>
      </c>
      <c r="AG45" s="1554">
        <f t="shared" si="133"/>
        <v>0</v>
      </c>
      <c r="AH45" s="1554">
        <f t="shared" si="133"/>
        <v>0</v>
      </c>
      <c r="AI45" s="1554">
        <f t="shared" si="133"/>
        <v>0</v>
      </c>
      <c r="AJ45" s="1554">
        <f t="shared" si="133"/>
        <v>0</v>
      </c>
      <c r="AK45" s="1554">
        <f t="shared" ref="AK45:AN45" si="136">IF(AK21="JA",AK42+AK43+AK44,AK42)</f>
        <v>0</v>
      </c>
      <c r="AL45" s="1554">
        <f t="shared" si="136"/>
        <v>0</v>
      </c>
      <c r="AM45" s="1554">
        <f t="shared" si="136"/>
        <v>0</v>
      </c>
      <c r="AN45" s="1554">
        <f t="shared" si="136"/>
        <v>0</v>
      </c>
      <c r="AO45" s="1554">
        <f t="shared" ref="AO45:AV45" si="137">IF(AO21="JA",AO42+AO43+AO44,AO42)</f>
        <v>0</v>
      </c>
      <c r="AP45" s="1554">
        <f t="shared" si="137"/>
        <v>0</v>
      </c>
      <c r="AQ45" s="1558">
        <f t="shared" si="137"/>
        <v>0</v>
      </c>
      <c r="AR45" s="2232">
        <f t="shared" si="137"/>
        <v>0</v>
      </c>
      <c r="AS45" s="2211">
        <f t="shared" si="137"/>
        <v>0</v>
      </c>
      <c r="AT45" s="2211">
        <f t="shared" si="137"/>
        <v>0</v>
      </c>
      <c r="AU45" s="2267">
        <f t="shared" si="137"/>
        <v>0</v>
      </c>
      <c r="AV45" s="1554">
        <f t="shared" si="137"/>
        <v>0</v>
      </c>
      <c r="AW45" s="1554">
        <f t="shared" ref="AW45:AY45" si="138">IF(AW21="JA",AW42+AW43+AW44,AW42)</f>
        <v>0</v>
      </c>
      <c r="AX45" s="1554">
        <f t="shared" si="138"/>
        <v>0</v>
      </c>
      <c r="AY45" s="2267">
        <f t="shared" si="138"/>
        <v>0</v>
      </c>
      <c r="AZ45" s="1557">
        <f>IF(AZ21="JA",AZ42+AZ43+AZ44,0)</f>
        <v>0</v>
      </c>
      <c r="BA45" s="1557">
        <f>IF(BA21="JA",BA42+BA43+BA44,0)</f>
        <v>0</v>
      </c>
      <c r="BB45" s="2232">
        <f t="shared" ref="BB45:BL45" si="139">IF(BB21="JA",BB42+BB43+BB44,BB42)</f>
        <v>0</v>
      </c>
      <c r="BC45" s="2100">
        <f t="shared" ref="BC45" si="140">IF(BC21="JA",BC42+BC43+BC44,BC42)</f>
        <v>0</v>
      </c>
      <c r="BD45" s="1554">
        <f t="shared" si="139"/>
        <v>0</v>
      </c>
      <c r="BE45" s="1554">
        <f t="shared" si="139"/>
        <v>0</v>
      </c>
      <c r="BF45" s="1554">
        <f t="shared" si="139"/>
        <v>0</v>
      </c>
      <c r="BG45" s="1554">
        <f t="shared" si="139"/>
        <v>0</v>
      </c>
      <c r="BH45" s="1554">
        <f t="shared" si="139"/>
        <v>0</v>
      </c>
      <c r="BI45" s="1554">
        <f t="shared" si="139"/>
        <v>0</v>
      </c>
      <c r="BJ45" s="1554">
        <f t="shared" si="139"/>
        <v>0</v>
      </c>
      <c r="BK45" s="1554">
        <f t="shared" si="139"/>
        <v>0</v>
      </c>
      <c r="BL45" s="1556">
        <f t="shared" si="139"/>
        <v>0</v>
      </c>
      <c r="BM45" s="1555">
        <f>IF(BM21="JA",BM42+BM43+BM44,0)</f>
        <v>0</v>
      </c>
      <c r="BN45" s="1557">
        <f>IF(BN21="JA",BN42+BN43+BN44,0)</f>
        <v>0</v>
      </c>
      <c r="BO45" s="1555">
        <f t="shared" ref="BO45:BX45" si="141">IF(BO21="JA",BO42+BO43+BO44,BO42)</f>
        <v>0</v>
      </c>
      <c r="BP45" s="1554">
        <f t="shared" si="141"/>
        <v>0</v>
      </c>
      <c r="BQ45" s="1554">
        <f t="shared" si="141"/>
        <v>0</v>
      </c>
      <c r="BR45" s="1554">
        <f t="shared" si="141"/>
        <v>0</v>
      </c>
      <c r="BS45" s="1554">
        <f t="shared" si="141"/>
        <v>0</v>
      </c>
      <c r="BT45" s="1554">
        <f t="shared" si="141"/>
        <v>0</v>
      </c>
      <c r="BU45" s="1554">
        <f t="shared" si="141"/>
        <v>0</v>
      </c>
      <c r="BV45" s="1554">
        <f t="shared" si="141"/>
        <v>0</v>
      </c>
      <c r="BW45" s="1554">
        <f t="shared" si="141"/>
        <v>0</v>
      </c>
      <c r="BX45" s="1556">
        <f t="shared" si="141"/>
        <v>0</v>
      </c>
      <c r="BY45" s="1555">
        <f>IF(BY21="JA",BY42+BY43+BY44,0)</f>
        <v>0</v>
      </c>
      <c r="BZ45" s="1557">
        <f>IF(BZ21="JA",BZ42+BZ43+BZ44,0)</f>
        <v>0</v>
      </c>
      <c r="CA45" s="1555">
        <f t="shared" ref="CA45:CH45" si="142">IF(CA21="JA",CA42+CA43+CA44,CA42)</f>
        <v>0</v>
      </c>
      <c r="CB45" s="1554">
        <f t="shared" si="142"/>
        <v>0</v>
      </c>
      <c r="CC45" s="1554">
        <f t="shared" si="142"/>
        <v>0</v>
      </c>
      <c r="CD45" s="1554">
        <f t="shared" si="142"/>
        <v>0</v>
      </c>
      <c r="CE45" s="1554">
        <f t="shared" si="142"/>
        <v>0</v>
      </c>
      <c r="CF45" s="1554">
        <f t="shared" si="142"/>
        <v>0</v>
      </c>
      <c r="CG45" s="1554">
        <f t="shared" si="142"/>
        <v>0</v>
      </c>
      <c r="CH45" s="1556">
        <f t="shared" si="142"/>
        <v>0</v>
      </c>
      <c r="CI45" s="1555">
        <f>IF(CI21="JA",CI42+CI43+CI44,0)</f>
        <v>0</v>
      </c>
      <c r="CJ45" s="1557">
        <f>IF(CJ21="JA",CJ42+CJ43+CJ44,0)</f>
        <v>0</v>
      </c>
      <c r="CK45" s="1555">
        <f t="shared" ref="CK45:CU45" si="143">IF(CK21="JA",CK42+CK43+CK44,CK42)</f>
        <v>0</v>
      </c>
      <c r="CL45" s="1554">
        <f t="shared" si="143"/>
        <v>0</v>
      </c>
      <c r="CM45" s="1554">
        <f t="shared" si="143"/>
        <v>0</v>
      </c>
      <c r="CN45" s="1554">
        <f t="shared" si="143"/>
        <v>0</v>
      </c>
      <c r="CO45" s="1554">
        <f t="shared" si="143"/>
        <v>0</v>
      </c>
      <c r="CP45" s="1554">
        <f t="shared" si="143"/>
        <v>0</v>
      </c>
      <c r="CQ45" s="1554">
        <f t="shared" si="143"/>
        <v>0</v>
      </c>
      <c r="CR45" s="1554">
        <f t="shared" si="143"/>
        <v>0</v>
      </c>
      <c r="CS45" s="1554">
        <f t="shared" si="143"/>
        <v>0</v>
      </c>
      <c r="CT45" s="1554">
        <f t="shared" si="143"/>
        <v>0</v>
      </c>
      <c r="CU45" s="1556">
        <f t="shared" si="143"/>
        <v>0</v>
      </c>
      <c r="CV45" s="1555">
        <f>IF(CV21="JA",CV42+CV43+CV44,0)</f>
        <v>0</v>
      </c>
      <c r="CW45" s="1557">
        <f>IF(CW21="JA",CW42+CW43+CW44,0)</f>
        <v>0</v>
      </c>
      <c r="CX45" s="1555">
        <f>IF(CX21="JA",CX42+CX43+CX44,CX42)</f>
        <v>0</v>
      </c>
      <c r="CY45" s="1554">
        <f>IF(CY21="JA",CY42+CY43+CY44,CY42)</f>
        <v>0</v>
      </c>
      <c r="CZ45" s="1554">
        <f>IF(CZ21="JA",CZ42+CZ43+CZ44,CZ42)</f>
        <v>0</v>
      </c>
      <c r="DA45" s="1554">
        <f>IF(DA21="JA",DA42+DA43+DA44,DA42)</f>
        <v>0</v>
      </c>
      <c r="DB45" s="1556">
        <f>IF(DB21="JA",DB42+DB43+DB44,DB42)</f>
        <v>0</v>
      </c>
      <c r="DC45" s="1555">
        <f>IF(DC21="JA",DC42+DC43+DC44,0)</f>
        <v>0</v>
      </c>
      <c r="DD45" s="1557">
        <f>IF(DD21="JA",DD42+DD43+DD44,0)</f>
        <v>0</v>
      </c>
    </row>
    <row r="46" spans="1:119" ht="24" customHeight="1">
      <c r="A46" s="3029" t="s">
        <v>667</v>
      </c>
      <c r="B46" s="3030"/>
      <c r="C46" s="2187">
        <f>(C43+C44)*3</f>
        <v>0</v>
      </c>
      <c r="D46" s="2188">
        <f t="shared" ref="D46:CL46" si="144">(D43+D44)*3</f>
        <v>0</v>
      </c>
      <c r="E46" s="2100">
        <f t="shared" si="144"/>
        <v>0</v>
      </c>
      <c r="F46" s="2211">
        <f t="shared" ref="F46" si="145">(F43+F44)*3</f>
        <v>0</v>
      </c>
      <c r="G46" s="1554">
        <f t="shared" si="144"/>
        <v>0</v>
      </c>
      <c r="H46" s="1554">
        <f t="shared" si="144"/>
        <v>0</v>
      </c>
      <c r="I46" s="1554">
        <f t="shared" ref="I46" si="146">(I43+I44)*3</f>
        <v>0</v>
      </c>
      <c r="J46" s="1554">
        <f t="shared" si="144"/>
        <v>0</v>
      </c>
      <c r="K46" s="1554">
        <f t="shared" si="144"/>
        <v>0</v>
      </c>
      <c r="L46" s="1554">
        <f t="shared" si="144"/>
        <v>0</v>
      </c>
      <c r="M46" s="1554">
        <f t="shared" si="144"/>
        <v>0</v>
      </c>
      <c r="N46" s="1554">
        <f t="shared" si="144"/>
        <v>0</v>
      </c>
      <c r="O46" s="1554">
        <f t="shared" si="144"/>
        <v>0</v>
      </c>
      <c r="P46" s="1554">
        <f t="shared" si="144"/>
        <v>0</v>
      </c>
      <c r="Q46" s="1554">
        <f t="shared" si="144"/>
        <v>0</v>
      </c>
      <c r="R46" s="1554">
        <f t="shared" si="144"/>
        <v>0</v>
      </c>
      <c r="S46" s="1554">
        <f t="shared" si="144"/>
        <v>0</v>
      </c>
      <c r="T46" s="1554">
        <f t="shared" si="144"/>
        <v>0</v>
      </c>
      <c r="U46" s="1556">
        <f t="shared" si="144"/>
        <v>0</v>
      </c>
      <c r="V46" s="1557">
        <f t="shared" si="144"/>
        <v>0</v>
      </c>
      <c r="W46" s="1556">
        <f t="shared" si="144"/>
        <v>0</v>
      </c>
      <c r="X46" s="2232">
        <f t="shared" si="144"/>
        <v>0</v>
      </c>
      <c r="Y46" s="2211">
        <f t="shared" ref="Y46" si="147">(Y43+Y44)*3</f>
        <v>0</v>
      </c>
      <c r="Z46" s="1558">
        <f t="shared" si="144"/>
        <v>0</v>
      </c>
      <c r="AA46" s="1555">
        <f t="shared" si="144"/>
        <v>0</v>
      </c>
      <c r="AB46" s="1554">
        <f t="shared" si="144"/>
        <v>0</v>
      </c>
      <c r="AC46" s="1554">
        <f t="shared" si="144"/>
        <v>0</v>
      </c>
      <c r="AD46" s="1554">
        <f t="shared" si="144"/>
        <v>0</v>
      </c>
      <c r="AE46" s="1554">
        <f t="shared" ref="AE46" si="148">(AE43+AE44)*3</f>
        <v>0</v>
      </c>
      <c r="AF46" s="1554">
        <f t="shared" si="144"/>
        <v>0</v>
      </c>
      <c r="AG46" s="1554">
        <f t="shared" si="144"/>
        <v>0</v>
      </c>
      <c r="AH46" s="1554">
        <f t="shared" si="144"/>
        <v>0</v>
      </c>
      <c r="AI46" s="1554">
        <f t="shared" si="144"/>
        <v>0</v>
      </c>
      <c r="AJ46" s="1554">
        <f t="shared" si="144"/>
        <v>0</v>
      </c>
      <c r="AK46" s="1554">
        <f t="shared" ref="AK46:AN46" si="149">(AK43+AK44)*3</f>
        <v>0</v>
      </c>
      <c r="AL46" s="1554">
        <f t="shared" si="149"/>
        <v>0</v>
      </c>
      <c r="AM46" s="1554">
        <f t="shared" si="149"/>
        <v>0</v>
      </c>
      <c r="AN46" s="1554">
        <f t="shared" si="149"/>
        <v>0</v>
      </c>
      <c r="AO46" s="1554">
        <f t="shared" ref="AO46:AV46" si="150">(AO43+AO44)*3</f>
        <v>0</v>
      </c>
      <c r="AP46" s="1554">
        <f t="shared" si="150"/>
        <v>0</v>
      </c>
      <c r="AQ46" s="1558">
        <f t="shared" si="150"/>
        <v>0</v>
      </c>
      <c r="AR46" s="2232">
        <f t="shared" si="150"/>
        <v>0</v>
      </c>
      <c r="AS46" s="2211">
        <f t="shared" si="150"/>
        <v>0</v>
      </c>
      <c r="AT46" s="2211">
        <f t="shared" si="150"/>
        <v>0</v>
      </c>
      <c r="AU46" s="2267">
        <f t="shared" si="150"/>
        <v>0</v>
      </c>
      <c r="AV46" s="1554">
        <f t="shared" si="150"/>
        <v>0</v>
      </c>
      <c r="AW46" s="1554">
        <f t="shared" ref="AW46:AY46" si="151">(AW43+AW44)*3</f>
        <v>0</v>
      </c>
      <c r="AX46" s="1554">
        <f t="shared" si="151"/>
        <v>0</v>
      </c>
      <c r="AY46" s="2267">
        <f t="shared" si="151"/>
        <v>0</v>
      </c>
      <c r="AZ46" s="1557">
        <f t="shared" si="144"/>
        <v>0</v>
      </c>
      <c r="BA46" s="1556">
        <f t="shared" si="144"/>
        <v>0</v>
      </c>
      <c r="BB46" s="2232">
        <f t="shared" si="144"/>
        <v>0</v>
      </c>
      <c r="BC46" s="2100">
        <f t="shared" ref="BC46" si="152">(BC43+BC44)*3</f>
        <v>0</v>
      </c>
      <c r="BD46" s="1554">
        <f t="shared" si="144"/>
        <v>0</v>
      </c>
      <c r="BE46" s="1554">
        <f t="shared" si="144"/>
        <v>0</v>
      </c>
      <c r="BF46" s="1554">
        <f t="shared" si="144"/>
        <v>0</v>
      </c>
      <c r="BG46" s="1554">
        <f t="shared" si="144"/>
        <v>0</v>
      </c>
      <c r="BH46" s="1554">
        <f t="shared" si="144"/>
        <v>0</v>
      </c>
      <c r="BI46" s="1554">
        <f t="shared" si="144"/>
        <v>0</v>
      </c>
      <c r="BJ46" s="1554">
        <f t="shared" si="144"/>
        <v>0</v>
      </c>
      <c r="BK46" s="1554">
        <f t="shared" si="144"/>
        <v>0</v>
      </c>
      <c r="BL46" s="1556">
        <f t="shared" si="144"/>
        <v>0</v>
      </c>
      <c r="BM46" s="1555">
        <f t="shared" si="144"/>
        <v>0</v>
      </c>
      <c r="BN46" s="1556">
        <f t="shared" si="144"/>
        <v>0</v>
      </c>
      <c r="BO46" s="1555">
        <f t="shared" si="144"/>
        <v>0</v>
      </c>
      <c r="BP46" s="1554">
        <f t="shared" si="144"/>
        <v>0</v>
      </c>
      <c r="BQ46" s="1554">
        <f t="shared" si="144"/>
        <v>0</v>
      </c>
      <c r="BR46" s="1554">
        <f t="shared" si="144"/>
        <v>0</v>
      </c>
      <c r="BS46" s="1554">
        <f t="shared" si="144"/>
        <v>0</v>
      </c>
      <c r="BT46" s="1554">
        <f t="shared" si="144"/>
        <v>0</v>
      </c>
      <c r="BU46" s="1554">
        <f t="shared" si="144"/>
        <v>0</v>
      </c>
      <c r="BV46" s="1554">
        <f t="shared" si="144"/>
        <v>0</v>
      </c>
      <c r="BW46" s="1554">
        <f t="shared" si="144"/>
        <v>0</v>
      </c>
      <c r="BX46" s="1556">
        <f t="shared" si="144"/>
        <v>0</v>
      </c>
      <c r="BY46" s="1555">
        <f t="shared" si="144"/>
        <v>0</v>
      </c>
      <c r="BZ46" s="1556">
        <f t="shared" si="144"/>
        <v>0</v>
      </c>
      <c r="CA46" s="1555">
        <f t="shared" si="144"/>
        <v>0</v>
      </c>
      <c r="CB46" s="1554">
        <f t="shared" si="144"/>
        <v>0</v>
      </c>
      <c r="CC46" s="1554">
        <f t="shared" si="144"/>
        <v>0</v>
      </c>
      <c r="CD46" s="1554">
        <f t="shared" ref="CD46" si="153">(CD43+CD44)*3</f>
        <v>0</v>
      </c>
      <c r="CE46" s="1554">
        <f t="shared" si="144"/>
        <v>0</v>
      </c>
      <c r="CF46" s="1554">
        <f t="shared" ref="CF46:CG46" si="154">(CF43+CF44)*3</f>
        <v>0</v>
      </c>
      <c r="CG46" s="1554">
        <f t="shared" si="154"/>
        <v>0</v>
      </c>
      <c r="CH46" s="1556">
        <f t="shared" si="144"/>
        <v>0</v>
      </c>
      <c r="CI46" s="1555">
        <f t="shared" si="144"/>
        <v>0</v>
      </c>
      <c r="CJ46" s="1556">
        <f t="shared" si="144"/>
        <v>0</v>
      </c>
      <c r="CK46" s="1555">
        <f t="shared" si="144"/>
        <v>0</v>
      </c>
      <c r="CL46" s="1554">
        <f t="shared" si="144"/>
        <v>0</v>
      </c>
      <c r="CM46" s="1554">
        <f t="shared" ref="CM46:DD46" si="155">(CM43+CM44)*3</f>
        <v>0</v>
      </c>
      <c r="CN46" s="1554">
        <f t="shared" si="155"/>
        <v>0</v>
      </c>
      <c r="CO46" s="1554">
        <f t="shared" si="155"/>
        <v>0</v>
      </c>
      <c r="CP46" s="1554">
        <f t="shared" si="155"/>
        <v>0</v>
      </c>
      <c r="CQ46" s="1554">
        <f t="shared" si="155"/>
        <v>0</v>
      </c>
      <c r="CR46" s="1554">
        <f t="shared" si="155"/>
        <v>0</v>
      </c>
      <c r="CS46" s="1554">
        <f t="shared" si="155"/>
        <v>0</v>
      </c>
      <c r="CT46" s="1554">
        <f t="shared" si="155"/>
        <v>0</v>
      </c>
      <c r="CU46" s="1556">
        <f t="shared" si="155"/>
        <v>0</v>
      </c>
      <c r="CV46" s="1555">
        <f t="shared" si="155"/>
        <v>0</v>
      </c>
      <c r="CW46" s="1556">
        <f t="shared" si="155"/>
        <v>0</v>
      </c>
      <c r="CX46" s="1555">
        <f t="shared" si="155"/>
        <v>0</v>
      </c>
      <c r="CY46" s="1554">
        <f t="shared" si="155"/>
        <v>0</v>
      </c>
      <c r="CZ46" s="1554">
        <f t="shared" si="155"/>
        <v>0</v>
      </c>
      <c r="DA46" s="1554">
        <f t="shared" si="155"/>
        <v>0</v>
      </c>
      <c r="DB46" s="1556">
        <f t="shared" si="155"/>
        <v>0</v>
      </c>
      <c r="DC46" s="1555">
        <f t="shared" si="155"/>
        <v>0</v>
      </c>
      <c r="DD46" s="1556">
        <f t="shared" si="155"/>
        <v>0</v>
      </c>
    </row>
    <row r="47" spans="1:119" ht="24" customHeight="1" thickBot="1">
      <c r="A47" s="3029" t="s">
        <v>523</v>
      </c>
      <c r="B47" s="3030"/>
      <c r="C47" s="2187">
        <f t="shared" ref="C47:U47" si="156">ATP/3*((C24&gt;=9/37)+(C24&gt;=18/37)+(C24&gt;=27/37))</f>
        <v>0</v>
      </c>
      <c r="D47" s="2189">
        <f t="shared" si="156"/>
        <v>0</v>
      </c>
      <c r="E47" s="2100">
        <f t="shared" si="156"/>
        <v>0</v>
      </c>
      <c r="F47" s="2211">
        <f t="shared" ref="F47" si="157">ATP/3*((F24&gt;=9/37)+(F24&gt;=18/37)+(F24&gt;=27/37))</f>
        <v>0</v>
      </c>
      <c r="G47" s="1554">
        <f t="shared" si="156"/>
        <v>0</v>
      </c>
      <c r="H47" s="1554">
        <f t="shared" si="156"/>
        <v>0</v>
      </c>
      <c r="I47" s="1554">
        <f t="shared" ref="I47" si="158">ATP/3*((I24&gt;=9/37)+(I24&gt;=18/37)+(I24&gt;=27/37))</f>
        <v>0</v>
      </c>
      <c r="J47" s="1554">
        <f t="shared" si="156"/>
        <v>0</v>
      </c>
      <c r="K47" s="1554">
        <f t="shared" si="156"/>
        <v>0</v>
      </c>
      <c r="L47" s="1554">
        <f t="shared" si="156"/>
        <v>0</v>
      </c>
      <c r="M47" s="1554">
        <f t="shared" si="156"/>
        <v>0</v>
      </c>
      <c r="N47" s="1554">
        <f t="shared" si="156"/>
        <v>0</v>
      </c>
      <c r="O47" s="1554">
        <f t="shared" si="156"/>
        <v>0</v>
      </c>
      <c r="P47" s="1554">
        <f t="shared" si="156"/>
        <v>0</v>
      </c>
      <c r="Q47" s="1554">
        <f t="shared" si="156"/>
        <v>0</v>
      </c>
      <c r="R47" s="1554">
        <f t="shared" si="156"/>
        <v>0</v>
      </c>
      <c r="S47" s="1554">
        <f t="shared" si="156"/>
        <v>0</v>
      </c>
      <c r="T47" s="1554">
        <f t="shared" si="156"/>
        <v>0</v>
      </c>
      <c r="U47" s="1556">
        <f t="shared" si="156"/>
        <v>0</v>
      </c>
      <c r="V47" s="1557">
        <f>SatsBilag!$B$14*'Lon pæd., TAP mm'!V10</f>
        <v>0</v>
      </c>
      <c r="W47" s="1556">
        <f>SatsBilag!$B$14*'Lon pæd., TAP mm'!W10</f>
        <v>0</v>
      </c>
      <c r="X47" s="2232">
        <f t="shared" ref="X47:AJ47" si="159">ATP/3*((X24&gt;=9/37)+(X24&gt;=18/37)+(X24&gt;=27/37))</f>
        <v>0</v>
      </c>
      <c r="Y47" s="2211">
        <f t="shared" ref="Y47" si="160">ATP/3*((Y24&gt;=9/37)+(Y24&gt;=18/37)+(Y24&gt;=27/37))</f>
        <v>0</v>
      </c>
      <c r="Z47" s="1558">
        <f t="shared" si="159"/>
        <v>0</v>
      </c>
      <c r="AA47" s="1555">
        <f t="shared" si="159"/>
        <v>0</v>
      </c>
      <c r="AB47" s="1554">
        <f t="shared" si="159"/>
        <v>0</v>
      </c>
      <c r="AC47" s="1554">
        <f t="shared" si="159"/>
        <v>0</v>
      </c>
      <c r="AD47" s="1554">
        <f t="shared" si="159"/>
        <v>0</v>
      </c>
      <c r="AE47" s="1554">
        <f t="shared" ref="AE47" si="161">ATP/3*((AE24&gt;=9/37)+(AE24&gt;=18/37)+(AE24&gt;=27/37))</f>
        <v>0</v>
      </c>
      <c r="AF47" s="1554">
        <f t="shared" si="159"/>
        <v>0</v>
      </c>
      <c r="AG47" s="1554">
        <f t="shared" si="159"/>
        <v>0</v>
      </c>
      <c r="AH47" s="1554">
        <f t="shared" si="159"/>
        <v>0</v>
      </c>
      <c r="AI47" s="1554">
        <f t="shared" si="159"/>
        <v>0</v>
      </c>
      <c r="AJ47" s="1554">
        <f t="shared" si="159"/>
        <v>0</v>
      </c>
      <c r="AK47" s="1554">
        <f t="shared" ref="AK47:AN47" si="162">ATP/3*((AK24&gt;=9/37)+(AK24&gt;=18/37)+(AK24&gt;=27/37))</f>
        <v>0</v>
      </c>
      <c r="AL47" s="1554">
        <f t="shared" si="162"/>
        <v>0</v>
      </c>
      <c r="AM47" s="1554">
        <f t="shared" si="162"/>
        <v>0</v>
      </c>
      <c r="AN47" s="1554">
        <f t="shared" si="162"/>
        <v>0</v>
      </c>
      <c r="AO47" s="1554">
        <f t="shared" ref="AO47:AQ47" si="163">ATP/3*((AO24&gt;=9/37)+(AO24&gt;=18/37)+(AO24&gt;=27/37))</f>
        <v>0</v>
      </c>
      <c r="AP47" s="1554">
        <f t="shared" si="163"/>
        <v>0</v>
      </c>
      <c r="AQ47" s="1558">
        <f t="shared" si="163"/>
        <v>0</v>
      </c>
      <c r="AR47" s="2232">
        <f t="shared" ref="AR47:AY47" si="164">ATP/3*((AR24&gt;=9/37)+(AR24&gt;=18/37)+(AR24&gt;=27/37))</f>
        <v>0</v>
      </c>
      <c r="AS47" s="2211">
        <f t="shared" si="164"/>
        <v>0</v>
      </c>
      <c r="AT47" s="2211">
        <f t="shared" ref="AT47" si="165">ATP/3*((AT24&gt;=9/37)+(AT24&gt;=18/37)+(AT24&gt;=27/37))</f>
        <v>0</v>
      </c>
      <c r="AU47" s="2267">
        <f t="shared" si="164"/>
        <v>0</v>
      </c>
      <c r="AV47" s="1554">
        <f t="shared" si="164"/>
        <v>0</v>
      </c>
      <c r="AW47" s="1554">
        <f t="shared" si="164"/>
        <v>0</v>
      </c>
      <c r="AX47" s="1554">
        <f t="shared" si="164"/>
        <v>0</v>
      </c>
      <c r="AY47" s="2267">
        <f t="shared" si="164"/>
        <v>0</v>
      </c>
      <c r="AZ47" s="1557">
        <f>SatsBilag!$B$14*'Lon pæd., TAP mm'!AZ10</f>
        <v>0</v>
      </c>
      <c r="BA47" s="1556">
        <f>SatsBilag!$B$14*'Lon pæd., TAP mm'!BA10</f>
        <v>0</v>
      </c>
      <c r="BB47" s="2232">
        <f t="shared" ref="BB47:BL47" si="166">ATP/3*((BB24&gt;=9/37)+(BB24&gt;=18/37)+(BB24&gt;=27/37))</f>
        <v>0</v>
      </c>
      <c r="BC47" s="2100">
        <f t="shared" ref="BC47" si="167">ATP/3*((BC24&gt;=9/37)+(BC24&gt;=18/37)+(BC24&gt;=27/37))</f>
        <v>0</v>
      </c>
      <c r="BD47" s="1554">
        <f t="shared" si="166"/>
        <v>0</v>
      </c>
      <c r="BE47" s="1554">
        <f t="shared" si="166"/>
        <v>0</v>
      </c>
      <c r="BF47" s="1554">
        <f t="shared" si="166"/>
        <v>0</v>
      </c>
      <c r="BG47" s="1554">
        <f t="shared" si="166"/>
        <v>0</v>
      </c>
      <c r="BH47" s="1554">
        <f t="shared" si="166"/>
        <v>0</v>
      </c>
      <c r="BI47" s="1554">
        <f t="shared" si="166"/>
        <v>0</v>
      </c>
      <c r="BJ47" s="1554">
        <f t="shared" si="166"/>
        <v>0</v>
      </c>
      <c r="BK47" s="1554">
        <f t="shared" si="166"/>
        <v>0</v>
      </c>
      <c r="BL47" s="1556">
        <f t="shared" si="166"/>
        <v>0</v>
      </c>
      <c r="BM47" s="1555">
        <f>SatsBilag!$B$14*'Lon pæd., TAP mm'!BM10</f>
        <v>0</v>
      </c>
      <c r="BN47" s="1556">
        <f>SatsBilag!$B$14*'Lon pæd., TAP mm'!BN10</f>
        <v>0</v>
      </c>
      <c r="BO47" s="1555">
        <f t="shared" ref="BO47:BX47" si="168">ATP/3*((BO24&gt;=9/37)+(BO24&gt;=18/37)+(BO24&gt;=27/37))</f>
        <v>0</v>
      </c>
      <c r="BP47" s="1554">
        <f t="shared" si="168"/>
        <v>0</v>
      </c>
      <c r="BQ47" s="1554">
        <f t="shared" si="168"/>
        <v>0</v>
      </c>
      <c r="BR47" s="1554">
        <f t="shared" si="168"/>
        <v>0</v>
      </c>
      <c r="BS47" s="1554">
        <f t="shared" si="168"/>
        <v>0</v>
      </c>
      <c r="BT47" s="1554">
        <f t="shared" si="168"/>
        <v>0</v>
      </c>
      <c r="BU47" s="1554">
        <f t="shared" si="168"/>
        <v>0</v>
      </c>
      <c r="BV47" s="1554">
        <f t="shared" si="168"/>
        <v>0</v>
      </c>
      <c r="BW47" s="1554">
        <f t="shared" si="168"/>
        <v>0</v>
      </c>
      <c r="BX47" s="1556">
        <f t="shared" si="168"/>
        <v>0</v>
      </c>
      <c r="BY47" s="1555">
        <f>SatsBilag!$B$14*'Lon pæd., TAP mm'!BY10</f>
        <v>0</v>
      </c>
      <c r="BZ47" s="1556">
        <f>SatsBilag!$B$14*'Lon pæd., TAP mm'!BZ10</f>
        <v>0</v>
      </c>
      <c r="CA47" s="1557">
        <f t="shared" ref="CA47:CH47" si="169">ATP/3*((CA24&gt;=9/37)+(CA24&gt;=18/37)+(CA24&gt;=27/37))</f>
        <v>0</v>
      </c>
      <c r="CB47" s="1554">
        <f t="shared" si="169"/>
        <v>0</v>
      </c>
      <c r="CC47" s="1554">
        <f t="shared" si="169"/>
        <v>0</v>
      </c>
      <c r="CD47" s="1554">
        <f t="shared" si="169"/>
        <v>0</v>
      </c>
      <c r="CE47" s="1554">
        <f t="shared" si="169"/>
        <v>0</v>
      </c>
      <c r="CF47" s="1554">
        <f t="shared" si="169"/>
        <v>0</v>
      </c>
      <c r="CG47" s="1554">
        <f t="shared" si="169"/>
        <v>0</v>
      </c>
      <c r="CH47" s="1554">
        <f t="shared" si="169"/>
        <v>0</v>
      </c>
      <c r="CI47" s="1555">
        <f>SatsBilag!$B$14*'Lon pæd., TAP mm'!CI10</f>
        <v>0</v>
      </c>
      <c r="CJ47" s="1556">
        <f>SatsBilag!$B$14*'Lon pæd., TAP mm'!CJ10</f>
        <v>0</v>
      </c>
      <c r="CK47" s="1557">
        <f t="shared" ref="CK47:CU47" si="170">ATP/3*((CK24&gt;=9/37)+(CK24&gt;=18/37)+(CK24&gt;=27/37))</f>
        <v>0</v>
      </c>
      <c r="CL47" s="1554">
        <f t="shared" si="170"/>
        <v>0</v>
      </c>
      <c r="CM47" s="1554">
        <f t="shared" si="170"/>
        <v>0</v>
      </c>
      <c r="CN47" s="1554">
        <f t="shared" si="170"/>
        <v>0</v>
      </c>
      <c r="CO47" s="1554">
        <f t="shared" si="170"/>
        <v>0</v>
      </c>
      <c r="CP47" s="1554">
        <f t="shared" si="170"/>
        <v>0</v>
      </c>
      <c r="CQ47" s="1554">
        <f t="shared" si="170"/>
        <v>0</v>
      </c>
      <c r="CR47" s="1554">
        <f t="shared" si="170"/>
        <v>0</v>
      </c>
      <c r="CS47" s="1554">
        <f t="shared" si="170"/>
        <v>0</v>
      </c>
      <c r="CT47" s="1554">
        <f t="shared" si="170"/>
        <v>0</v>
      </c>
      <c r="CU47" s="1554">
        <f t="shared" si="170"/>
        <v>0</v>
      </c>
      <c r="CV47" s="1555">
        <f>SatsBilag!$B$14*'Lon pæd., TAP mm'!CV10</f>
        <v>0</v>
      </c>
      <c r="CW47" s="1556">
        <f>SatsBilag!$B$14*'Lon pæd., TAP mm'!CW10</f>
        <v>0</v>
      </c>
      <c r="CX47" s="1557">
        <f>ATP/3*((CX24&gt;=9/37)+(CX24&gt;=18/37)+(CX24&gt;=27/37))</f>
        <v>0</v>
      </c>
      <c r="CY47" s="1554">
        <f>ATP/3*((CY24&gt;=9/37)+(CY24&gt;=18/37)+(CY24&gt;=27/37))</f>
        <v>0</v>
      </c>
      <c r="CZ47" s="1554">
        <f>ATP/3*((CZ24&gt;=9/37)+(CZ24&gt;=18/37)+(CZ24&gt;=27/37))</f>
        <v>0</v>
      </c>
      <c r="DA47" s="1554">
        <f>ATP/3*((DA24&gt;=9/37)+(DA24&gt;=18/37)+(DA24&gt;=27/37))</f>
        <v>0</v>
      </c>
      <c r="DB47" s="1554">
        <f>ATP/3*((DB24&gt;=9/37)+(DB24&gt;=18/37)+(DB24&gt;=27/37))</f>
        <v>0</v>
      </c>
      <c r="DC47" s="1555">
        <f>SatsBilag!$B$14*'Lon pæd., TAP mm'!DC10</f>
        <v>0</v>
      </c>
      <c r="DD47" s="1556">
        <f>SatsBilag!$B$14*'Lon pæd., TAP mm'!DD10</f>
        <v>0</v>
      </c>
      <c r="DE47" s="62" t="s">
        <v>668</v>
      </c>
    </row>
    <row r="48" spans="1:119" ht="24" customHeight="1" thickBot="1">
      <c r="A48" s="3029" t="s">
        <v>525</v>
      </c>
      <c r="B48" s="3030"/>
      <c r="C48" s="2187">
        <f t="shared" ref="C48" si="171">C45+(C46/3*2)+(C47*2/3)</f>
        <v>0</v>
      </c>
      <c r="D48" s="2188">
        <f t="shared" ref="D48" si="172">D45+(D46/3*2)+(D47*2/3)</f>
        <v>0</v>
      </c>
      <c r="E48" s="2100">
        <f t="shared" ref="E48:J48" si="173">E45+(E46/3*2)+(E47*2/3)</f>
        <v>0</v>
      </c>
      <c r="F48" s="2211">
        <f t="shared" ref="F48" si="174">F45+(F46/3*2)+(F47*2/3)</f>
        <v>0</v>
      </c>
      <c r="G48" s="1554">
        <f t="shared" si="173"/>
        <v>0</v>
      </c>
      <c r="H48" s="1554">
        <f t="shared" si="173"/>
        <v>0</v>
      </c>
      <c r="I48" s="1554">
        <f t="shared" ref="I48" si="175">I45+(I46/3*2)+(I47*2/3)</f>
        <v>0</v>
      </c>
      <c r="J48" s="1554">
        <f t="shared" si="173"/>
        <v>0</v>
      </c>
      <c r="K48" s="1554">
        <f t="shared" ref="K48" si="176">K45+(K46/3*2)+(K47*2/3)</f>
        <v>0</v>
      </c>
      <c r="L48" s="1554">
        <f t="shared" ref="L48" si="177">L45+(L46/3*2)+(L47*2/3)</f>
        <v>0</v>
      </c>
      <c r="M48" s="1554">
        <f t="shared" ref="M48" si="178">M45+(M46/3*2)+(M47*2/3)</f>
        <v>0</v>
      </c>
      <c r="N48" s="1554">
        <f t="shared" ref="N48" si="179">N45+(N46/3*2)+(N47*2/3)</f>
        <v>0</v>
      </c>
      <c r="O48" s="1554">
        <f t="shared" ref="O48" si="180">O45+(O46/3*2)+(O47*2/3)</f>
        <v>0</v>
      </c>
      <c r="P48" s="1554">
        <f t="shared" ref="P48" si="181">P45+(P46/3*2)+(P47*2/3)</f>
        <v>0</v>
      </c>
      <c r="Q48" s="1554">
        <f t="shared" ref="Q48" si="182">Q45+(Q46/3*2)+(Q47*2/3)</f>
        <v>0</v>
      </c>
      <c r="R48" s="1554">
        <f t="shared" ref="R48" si="183">R45+(R46/3*2)+(R47*2/3)</f>
        <v>0</v>
      </c>
      <c r="S48" s="1554">
        <f t="shared" ref="S48" si="184">S45+(S46/3*2)+(S47*2/3)</f>
        <v>0</v>
      </c>
      <c r="T48" s="1554">
        <f t="shared" ref="T48" si="185">T45+(T46/3*2)+(T47*2/3)</f>
        <v>0</v>
      </c>
      <c r="U48" s="1556">
        <f t="shared" ref="U48" si="186">U45+(U46/3*2)+(U47*2/3)</f>
        <v>0</v>
      </c>
      <c r="V48" s="1557">
        <f t="shared" ref="V48:CJ48" si="187">V42+V46+V47*2/3</f>
        <v>0</v>
      </c>
      <c r="W48" s="1556">
        <f t="shared" si="187"/>
        <v>0</v>
      </c>
      <c r="X48" s="2232">
        <f t="shared" ref="X48:Y48" si="188">X45+(X46/3*2)+(X47*2/3)</f>
        <v>0</v>
      </c>
      <c r="Y48" s="2211">
        <f t="shared" si="188"/>
        <v>0</v>
      </c>
      <c r="Z48" s="1558">
        <f t="shared" ref="Z48" si="189">Z45+(Z46/3*2)+(Z47*2/3)</f>
        <v>0</v>
      </c>
      <c r="AA48" s="1555">
        <f t="shared" ref="AA48" si="190">AA45+(AA46/3*2)+(AA47*2/3)</f>
        <v>0</v>
      </c>
      <c r="AB48" s="1554">
        <f t="shared" ref="AB48" si="191">AB45+(AB46/3*2)+(AB47*2/3)</f>
        <v>0</v>
      </c>
      <c r="AC48" s="1554">
        <f t="shared" ref="AC48" si="192">AC45+(AC46/3*2)+(AC47*2/3)</f>
        <v>0</v>
      </c>
      <c r="AD48" s="1554">
        <f t="shared" ref="AD48:AE48" si="193">AD45+(AD46/3*2)+(AD47*2/3)</f>
        <v>0</v>
      </c>
      <c r="AE48" s="1554">
        <f t="shared" si="193"/>
        <v>0</v>
      </c>
      <c r="AF48" s="1554">
        <f t="shared" ref="AF48" si="194">AF45+(AF46/3*2)+(AF47*2/3)</f>
        <v>0</v>
      </c>
      <c r="AG48" s="1554">
        <f t="shared" ref="AG48" si="195">AG45+(AG46/3*2)+(AG47*2/3)</f>
        <v>0</v>
      </c>
      <c r="AH48" s="1554">
        <f t="shared" ref="AH48" si="196">AH45+(AH46/3*2)+(AH47*2/3)</f>
        <v>0</v>
      </c>
      <c r="AI48" s="1554">
        <f t="shared" ref="AI48" si="197">AI45+(AI46/3*2)+(AI47*2/3)</f>
        <v>0</v>
      </c>
      <c r="AJ48" s="1554">
        <f t="shared" ref="AJ48:AM48" si="198">AJ45+(AJ46/3*2)+(AJ47*2/3)</f>
        <v>0</v>
      </c>
      <c r="AK48" s="1554">
        <f t="shared" si="198"/>
        <v>0</v>
      </c>
      <c r="AL48" s="1554">
        <f t="shared" si="198"/>
        <v>0</v>
      </c>
      <c r="AM48" s="1554">
        <f t="shared" si="198"/>
        <v>0</v>
      </c>
      <c r="AN48" s="1554">
        <f t="shared" ref="AN48:AU48" si="199">AN45+(AN46/3*2)+(AN47*2/3)</f>
        <v>0</v>
      </c>
      <c r="AO48" s="1554">
        <f t="shared" si="199"/>
        <v>0</v>
      </c>
      <c r="AP48" s="1554">
        <f t="shared" si="199"/>
        <v>0</v>
      </c>
      <c r="AQ48" s="1558">
        <f t="shared" si="199"/>
        <v>0</v>
      </c>
      <c r="AR48" s="2232">
        <f t="shared" si="199"/>
        <v>0</v>
      </c>
      <c r="AS48" s="2211">
        <f t="shared" si="199"/>
        <v>0</v>
      </c>
      <c r="AT48" s="2211">
        <f t="shared" si="199"/>
        <v>0</v>
      </c>
      <c r="AU48" s="2267">
        <f t="shared" si="199"/>
        <v>0</v>
      </c>
      <c r="AV48" s="1554">
        <f t="shared" ref="AV48:AY48" si="200">AV45+(AV46/3*2)+(AV47*2/3)</f>
        <v>0</v>
      </c>
      <c r="AW48" s="1554">
        <f t="shared" si="200"/>
        <v>0</v>
      </c>
      <c r="AX48" s="1554">
        <f t="shared" si="200"/>
        <v>0</v>
      </c>
      <c r="AY48" s="2267">
        <f t="shared" si="200"/>
        <v>0</v>
      </c>
      <c r="AZ48" s="1557">
        <f t="shared" si="187"/>
        <v>0</v>
      </c>
      <c r="BA48" s="1556">
        <f t="shared" si="187"/>
        <v>0</v>
      </c>
      <c r="BB48" s="2232">
        <f t="shared" ref="BB48:BC48" si="201">BB45+(BB46/3*2)+(BB47*2/3)</f>
        <v>0</v>
      </c>
      <c r="BC48" s="2100">
        <f t="shared" si="201"/>
        <v>0</v>
      </c>
      <c r="BD48" s="1554">
        <f t="shared" ref="BD48" si="202">BD45+(BD46/3*2)+(BD47*2/3)</f>
        <v>0</v>
      </c>
      <c r="BE48" s="1554">
        <f t="shared" ref="BE48" si="203">BE45+(BE46/3*2)+(BE47*2/3)</f>
        <v>0</v>
      </c>
      <c r="BF48" s="1554">
        <f t="shared" ref="BF48" si="204">BF45+(BF46/3*2)+(BF47*2/3)</f>
        <v>0</v>
      </c>
      <c r="BG48" s="1554">
        <f t="shared" ref="BG48" si="205">BG45+(BG46/3*2)+(BG47*2/3)</f>
        <v>0</v>
      </c>
      <c r="BH48" s="1554">
        <f t="shared" ref="BH48" si="206">BH45+(BH46/3*2)+(BH47*2/3)</f>
        <v>0</v>
      </c>
      <c r="BI48" s="1554">
        <f t="shared" ref="BI48" si="207">BI45+(BI46/3*2)+(BI47*2/3)</f>
        <v>0</v>
      </c>
      <c r="BJ48" s="1554">
        <f t="shared" ref="BJ48" si="208">BJ45+(BJ46/3*2)+(BJ47*2/3)</f>
        <v>0</v>
      </c>
      <c r="BK48" s="1554">
        <f t="shared" ref="BK48" si="209">BK45+(BK46/3*2)+(BK47*2/3)</f>
        <v>0</v>
      </c>
      <c r="BL48" s="1556">
        <f t="shared" ref="BL48" si="210">BL45+(BL46/3*2)+(BL47*2/3)</f>
        <v>0</v>
      </c>
      <c r="BM48" s="1555">
        <f t="shared" si="187"/>
        <v>0</v>
      </c>
      <c r="BN48" s="1556">
        <f t="shared" si="187"/>
        <v>0</v>
      </c>
      <c r="BO48" s="1555">
        <f t="shared" ref="BO48" si="211">BO45+(BO46/3*2)+(BO47*2/3)</f>
        <v>0</v>
      </c>
      <c r="BP48" s="1554">
        <f t="shared" ref="BP48" si="212">BP45+(BP46/3*2)+(BP47*2/3)</f>
        <v>0</v>
      </c>
      <c r="BQ48" s="1554">
        <f t="shared" ref="BQ48" si="213">BQ45+(BQ46/3*2)+(BQ47*2/3)</f>
        <v>0</v>
      </c>
      <c r="BR48" s="1554">
        <f t="shared" ref="BR48" si="214">BR45+(BR46/3*2)+(BR47*2/3)</f>
        <v>0</v>
      </c>
      <c r="BS48" s="1554">
        <f t="shared" ref="BS48" si="215">BS45+(BS46/3*2)+(BS47*2/3)</f>
        <v>0</v>
      </c>
      <c r="BT48" s="1554">
        <f t="shared" ref="BT48" si="216">BT45+(BT46/3*2)+(BT47*2/3)</f>
        <v>0</v>
      </c>
      <c r="BU48" s="1554">
        <f t="shared" ref="BU48" si="217">BU45+(BU46/3*2)+(BU47*2/3)</f>
        <v>0</v>
      </c>
      <c r="BV48" s="1554">
        <f>BV45+(BV46/3*2)+(BV47*2/3)</f>
        <v>0</v>
      </c>
      <c r="BW48" s="1554">
        <f t="shared" ref="BW48" si="218">BW45+(BW46/3*2)+(BW47*2/3)</f>
        <v>0</v>
      </c>
      <c r="BX48" s="1556">
        <f t="shared" ref="BX48" si="219">BX45+(BX46/3*2)+(BX47*2/3)</f>
        <v>0</v>
      </c>
      <c r="BY48" s="1555">
        <f t="shared" si="187"/>
        <v>0</v>
      </c>
      <c r="BZ48" s="1556">
        <f t="shared" si="187"/>
        <v>0</v>
      </c>
      <c r="CA48" s="1555">
        <f t="shared" ref="CA48" si="220">CA45+(CA46/3*2)+(CA47*2/3)</f>
        <v>0</v>
      </c>
      <c r="CB48" s="1554">
        <f t="shared" ref="CB48" si="221">CB45+(CB46/3*2)+(CB47*2/3)</f>
        <v>0</v>
      </c>
      <c r="CC48" s="1554">
        <f t="shared" ref="CC48:CG48" si="222">CC45+(CC46/3*2)+(CC47*2/3)</f>
        <v>0</v>
      </c>
      <c r="CD48" s="1554">
        <f t="shared" si="222"/>
        <v>0</v>
      </c>
      <c r="CE48" s="1554">
        <f t="shared" ref="CE48:CF48" si="223">CE45+(CE46/3*2)+(CE47*2/3)</f>
        <v>0</v>
      </c>
      <c r="CF48" s="1554">
        <f t="shared" si="223"/>
        <v>0</v>
      </c>
      <c r="CG48" s="1554">
        <f t="shared" si="222"/>
        <v>0</v>
      </c>
      <c r="CH48" s="1556">
        <f t="shared" ref="CH48" si="224">CH45+(CH46/3*2)+(CH47*2/3)</f>
        <v>0</v>
      </c>
      <c r="CI48" s="1555">
        <f t="shared" si="187"/>
        <v>0</v>
      </c>
      <c r="CJ48" s="1556">
        <f t="shared" si="187"/>
        <v>0</v>
      </c>
      <c r="CK48" s="1555">
        <f>CK45+(CK46/3*2)+(CK47/3*2)</f>
        <v>0</v>
      </c>
      <c r="CL48" s="1554">
        <f t="shared" ref="CL48:CU48" si="225">CL45+(CL46/3*2)+(CL47*2/3)</f>
        <v>0</v>
      </c>
      <c r="CM48" s="1554">
        <f t="shared" si="225"/>
        <v>0</v>
      </c>
      <c r="CN48" s="1554">
        <f t="shared" si="225"/>
        <v>0</v>
      </c>
      <c r="CO48" s="1554">
        <f t="shared" si="225"/>
        <v>0</v>
      </c>
      <c r="CP48" s="1554">
        <f t="shared" si="225"/>
        <v>0</v>
      </c>
      <c r="CQ48" s="1554">
        <f t="shared" si="225"/>
        <v>0</v>
      </c>
      <c r="CR48" s="1554">
        <f t="shared" si="225"/>
        <v>0</v>
      </c>
      <c r="CS48" s="1554">
        <f t="shared" si="225"/>
        <v>0</v>
      </c>
      <c r="CT48" s="1554">
        <f t="shared" si="225"/>
        <v>0</v>
      </c>
      <c r="CU48" s="1556">
        <f t="shared" si="225"/>
        <v>0</v>
      </c>
      <c r="CV48" s="1555">
        <f t="shared" ref="CV48:DD48" si="226">CV42+CV46+CV47*2/3</f>
        <v>0</v>
      </c>
      <c r="CW48" s="1556">
        <f t="shared" si="226"/>
        <v>0</v>
      </c>
      <c r="CX48" s="1555">
        <f t="shared" ref="CX48" si="227">CX45+(CX46/3*2)+(CX47*2/3)</f>
        <v>0</v>
      </c>
      <c r="CY48" s="1554">
        <f t="shared" ref="CY48" si="228">CY45+(CY46/3*2)+(CY47*2/3)</f>
        <v>0</v>
      </c>
      <c r="CZ48" s="1554">
        <f t="shared" ref="CZ48" si="229">CZ45+(CZ46/3*2)+(CZ47*2/3)</f>
        <v>0</v>
      </c>
      <c r="DA48" s="1554">
        <f t="shared" ref="DA48" si="230">DA45+(DA46/3*2)+(DA47*2/3)</f>
        <v>0</v>
      </c>
      <c r="DB48" s="1556">
        <f t="shared" ref="DB48" si="231">DB45+(DB46/3*2)+(DB47*2/3)</f>
        <v>0</v>
      </c>
      <c r="DC48" s="1555">
        <f t="shared" si="226"/>
        <v>0</v>
      </c>
      <c r="DD48" s="1556">
        <f t="shared" si="226"/>
        <v>0</v>
      </c>
      <c r="DE48" s="1559" t="str">
        <f>ROUND(SUM(C48:CB48),0)&amp;" i alt pr. måned"</f>
        <v>0 i alt pr. måned</v>
      </c>
    </row>
    <row r="49" spans="1:134" ht="43" customHeight="1">
      <c r="A49" s="2990" t="s">
        <v>1548</v>
      </c>
      <c r="B49" s="2990"/>
      <c r="C49" s="2184"/>
      <c r="D49" s="2185"/>
      <c r="E49" s="2145"/>
      <c r="F49" s="2210"/>
      <c r="G49" s="1543"/>
      <c r="H49" s="1543"/>
      <c r="I49" s="1543"/>
      <c r="J49" s="1543"/>
      <c r="K49" s="1543"/>
      <c r="L49" s="1543"/>
      <c r="M49" s="1543"/>
      <c r="N49" s="1543"/>
      <c r="O49" s="1543"/>
      <c r="P49" s="1543"/>
      <c r="Q49" s="1543"/>
      <c r="R49" s="1543"/>
      <c r="S49" s="1543"/>
      <c r="T49" s="1543"/>
      <c r="U49" s="1541"/>
      <c r="V49" s="1560"/>
      <c r="W49" s="1561"/>
      <c r="X49" s="2231"/>
      <c r="Y49" s="2210"/>
      <c r="Z49" s="1544"/>
      <c r="AA49" s="1542"/>
      <c r="AB49" s="1543"/>
      <c r="AC49" s="1543"/>
      <c r="AD49" s="1543"/>
      <c r="AE49" s="1543"/>
      <c r="AF49" s="1543"/>
      <c r="AG49" s="1543"/>
      <c r="AH49" s="1543"/>
      <c r="AI49" s="1543"/>
      <c r="AJ49" s="1543"/>
      <c r="AK49" s="1543"/>
      <c r="AL49" s="1543"/>
      <c r="AM49" s="1543"/>
      <c r="AN49" s="1543"/>
      <c r="AO49" s="1543"/>
      <c r="AP49" s="1543"/>
      <c r="AQ49" s="1544"/>
      <c r="AR49" s="2231"/>
      <c r="AS49" s="2210"/>
      <c r="AT49" s="2210"/>
      <c r="AU49" s="2266"/>
      <c r="AV49" s="2145"/>
      <c r="AW49" s="2210"/>
      <c r="AX49" s="2210"/>
      <c r="AY49" s="2266"/>
      <c r="AZ49" s="1560"/>
      <c r="BA49" s="1561"/>
      <c r="BB49" s="2231"/>
      <c r="BC49" s="2145"/>
      <c r="BD49" s="1543"/>
      <c r="BE49" s="1543"/>
      <c r="BF49" s="1543"/>
      <c r="BG49" s="1543"/>
      <c r="BH49" s="1543"/>
      <c r="BI49" s="1543"/>
      <c r="BJ49" s="1543"/>
      <c r="BK49" s="1543"/>
      <c r="BL49" s="1541"/>
      <c r="BM49" s="1562"/>
      <c r="BN49" s="1561"/>
      <c r="BO49" s="1542"/>
      <c r="BP49" s="1543"/>
      <c r="BQ49" s="1543"/>
      <c r="BR49" s="1543"/>
      <c r="BS49" s="1543"/>
      <c r="BT49" s="1543"/>
      <c r="BU49" s="1543"/>
      <c r="BV49" s="1543"/>
      <c r="BW49" s="1543"/>
      <c r="BX49" s="1541"/>
      <c r="BY49" s="1562"/>
      <c r="BZ49" s="1561"/>
      <c r="CA49" s="1542"/>
      <c r="CB49" s="1543"/>
      <c r="CC49" s="1543"/>
      <c r="CD49" s="1543"/>
      <c r="CE49" s="1543"/>
      <c r="CF49" s="1543"/>
      <c r="CG49" s="1543"/>
      <c r="CH49" s="1541"/>
      <c r="CI49" s="1562"/>
      <c r="CJ49" s="1561"/>
      <c r="CK49" s="1542"/>
      <c r="CL49" s="1543"/>
      <c r="CM49" s="1543"/>
      <c r="CN49" s="1543"/>
      <c r="CO49" s="1543"/>
      <c r="CP49" s="1543"/>
      <c r="CQ49" s="1543"/>
      <c r="CR49" s="1543"/>
      <c r="CS49" s="1543"/>
      <c r="CT49" s="1543"/>
      <c r="CU49" s="1544"/>
      <c r="CV49" s="1562"/>
      <c r="CW49" s="1561"/>
      <c r="CX49" s="1542"/>
      <c r="CY49" s="1543"/>
      <c r="CZ49" s="1543"/>
      <c r="DA49" s="1543"/>
      <c r="DB49" s="1541"/>
      <c r="DC49" s="1562"/>
      <c r="DD49" s="1561"/>
      <c r="DE49" s="74"/>
    </row>
    <row r="50" spans="1:134" ht="47" customHeight="1">
      <c r="A50" s="3134" t="str">
        <f>"Vedr. beregning af det særlige ferietillæg der udbetales maj og august "&amp;budgetår&amp;" oplyses her antal ansættelsesmåneder i perioden september "&amp;budgetår-1&amp;" - august "&amp;budgetår&amp;". Hvis alle måneder - skriv 12. Hvis den ansatte har mere end en kolonne, oplyses tallet i den kolonne/ansættelse der går videre til "&amp;budgetår+1&amp;"."</f>
        <v>Vedr. beregning af det særlige ferietillæg der udbetales maj og august 2026 oplyses her antal ansættelsesmåneder i perioden september 2025 - august 2026. Hvis alle måneder - skriv 12. Hvis den ansatte har mere end en kolonne, oplyses tallet i den kolonne/ansættelse der går videre til 2027.</v>
      </c>
      <c r="B50" s="2990"/>
      <c r="C50" s="2190"/>
      <c r="D50" s="2191"/>
      <c r="E50" s="2146"/>
      <c r="F50" s="2212"/>
      <c r="G50" s="1549"/>
      <c r="H50" s="1549"/>
      <c r="I50" s="1549"/>
      <c r="J50" s="1549"/>
      <c r="K50" s="1549"/>
      <c r="L50" s="1549"/>
      <c r="M50" s="1549"/>
      <c r="N50" s="1549"/>
      <c r="O50" s="1549"/>
      <c r="P50" s="1549"/>
      <c r="Q50" s="1549"/>
      <c r="R50" s="1549"/>
      <c r="S50" s="1549"/>
      <c r="T50" s="1549"/>
      <c r="U50" s="1563"/>
      <c r="V50" s="1565"/>
      <c r="W50" s="1566"/>
      <c r="X50" s="2233"/>
      <c r="Y50" s="2212"/>
      <c r="Z50" s="1567"/>
      <c r="AA50" s="1564"/>
      <c r="AB50" s="1549"/>
      <c r="AC50" s="1549"/>
      <c r="AD50" s="1549"/>
      <c r="AE50" s="1549"/>
      <c r="AF50" s="1549"/>
      <c r="AG50" s="1549"/>
      <c r="AH50" s="1549"/>
      <c r="AI50" s="1549"/>
      <c r="AJ50" s="1549"/>
      <c r="AK50" s="1549"/>
      <c r="AL50" s="1549"/>
      <c r="AM50" s="1549"/>
      <c r="AN50" s="1549"/>
      <c r="AO50" s="1549"/>
      <c r="AP50" s="1549"/>
      <c r="AQ50" s="1567"/>
      <c r="AR50" s="2233"/>
      <c r="AS50" s="2212"/>
      <c r="AT50" s="2212"/>
      <c r="AU50" s="2268"/>
      <c r="AV50" s="2146"/>
      <c r="AW50" s="2212"/>
      <c r="AX50" s="2212"/>
      <c r="AY50" s="2268"/>
      <c r="AZ50" s="1565"/>
      <c r="BA50" s="1566"/>
      <c r="BB50" s="2233"/>
      <c r="BC50" s="2146"/>
      <c r="BD50" s="1549"/>
      <c r="BE50" s="1549"/>
      <c r="BF50" s="1549"/>
      <c r="BG50" s="1549"/>
      <c r="BH50" s="1549"/>
      <c r="BI50" s="1549"/>
      <c r="BJ50" s="1549"/>
      <c r="BK50" s="1549"/>
      <c r="BL50" s="1563"/>
      <c r="BM50" s="1568"/>
      <c r="BN50" s="1566"/>
      <c r="BO50" s="1564"/>
      <c r="BP50" s="1549"/>
      <c r="BQ50" s="1549"/>
      <c r="BR50" s="1549"/>
      <c r="BS50" s="1549"/>
      <c r="BT50" s="1549"/>
      <c r="BU50" s="1549"/>
      <c r="BV50" s="1549"/>
      <c r="BW50" s="1549"/>
      <c r="BX50" s="1563"/>
      <c r="BY50" s="1568"/>
      <c r="BZ50" s="1566"/>
      <c r="CA50" s="1564"/>
      <c r="CB50" s="1549"/>
      <c r="CC50" s="1549"/>
      <c r="CD50" s="1549"/>
      <c r="CE50" s="1549"/>
      <c r="CF50" s="1549"/>
      <c r="CG50" s="1549"/>
      <c r="CH50" s="1563"/>
      <c r="CI50" s="1568"/>
      <c r="CJ50" s="1566"/>
      <c r="CK50" s="1564"/>
      <c r="CL50" s="1549"/>
      <c r="CM50" s="1549"/>
      <c r="CN50" s="1549"/>
      <c r="CO50" s="1549"/>
      <c r="CP50" s="1549"/>
      <c r="CQ50" s="1549"/>
      <c r="CR50" s="1549"/>
      <c r="CS50" s="1549"/>
      <c r="CT50" s="1549"/>
      <c r="CU50" s="1567"/>
      <c r="CV50" s="1568"/>
      <c r="CW50" s="1566"/>
      <c r="CX50" s="1564"/>
      <c r="CY50" s="1549"/>
      <c r="CZ50" s="1549"/>
      <c r="DA50" s="1549"/>
      <c r="DB50" s="1563"/>
      <c r="DC50" s="1562"/>
      <c r="DD50" s="1561"/>
      <c r="DE50" s="74"/>
    </row>
    <row r="51" spans="1:134" ht="36" customHeight="1">
      <c r="A51" s="3132" t="str">
        <f>"Særlig ferietillæg - 2,02 % af den ferieberettiget løn optjent september "&amp;budgetår-1&amp;" - august "&amp;budgetår&amp;""</f>
        <v>Særlig ferietillæg - 2,02 % af den ferieberettiget løn optjent september 2025 - august 2026</v>
      </c>
      <c r="B51" s="3133"/>
      <c r="C51" s="2192">
        <f t="shared" ref="C51:U51" si="232">IF(C14&gt;0,(C42*C50*2.02%),0)</f>
        <v>0</v>
      </c>
      <c r="D51" s="2193">
        <f t="shared" si="232"/>
        <v>0</v>
      </c>
      <c r="E51" s="2147">
        <f t="shared" si="232"/>
        <v>0</v>
      </c>
      <c r="F51" s="2213">
        <f t="shared" ref="F51" si="233">IF(F14&gt;0,(F42*F50*2.02%),0)</f>
        <v>0</v>
      </c>
      <c r="G51" s="1571">
        <f t="shared" si="232"/>
        <v>0</v>
      </c>
      <c r="H51" s="1571">
        <f t="shared" si="232"/>
        <v>0</v>
      </c>
      <c r="I51" s="1571">
        <f t="shared" ref="I51" si="234">IF(I14&gt;0,(I42*I50*2.02%),0)</f>
        <v>0</v>
      </c>
      <c r="J51" s="1571">
        <f t="shared" si="232"/>
        <v>0</v>
      </c>
      <c r="K51" s="1571">
        <f t="shared" si="232"/>
        <v>0</v>
      </c>
      <c r="L51" s="1571">
        <f t="shared" si="232"/>
        <v>0</v>
      </c>
      <c r="M51" s="1571">
        <f t="shared" si="232"/>
        <v>0</v>
      </c>
      <c r="N51" s="1571">
        <f t="shared" si="232"/>
        <v>0</v>
      </c>
      <c r="O51" s="1571">
        <f t="shared" si="232"/>
        <v>0</v>
      </c>
      <c r="P51" s="1571">
        <f t="shared" si="232"/>
        <v>0</v>
      </c>
      <c r="Q51" s="1571">
        <f t="shared" si="232"/>
        <v>0</v>
      </c>
      <c r="R51" s="1571">
        <f t="shared" si="232"/>
        <v>0</v>
      </c>
      <c r="S51" s="1571">
        <f t="shared" si="232"/>
        <v>0</v>
      </c>
      <c r="T51" s="1571">
        <f t="shared" si="232"/>
        <v>0</v>
      </c>
      <c r="U51" s="1572">
        <f t="shared" si="232"/>
        <v>0</v>
      </c>
      <c r="V51" s="1573"/>
      <c r="W51" s="1574"/>
      <c r="X51" s="2234">
        <f t="shared" ref="X51:AJ51" si="235">IF(X14&gt;0,(X42*X50*2.02%),0)</f>
        <v>0</v>
      </c>
      <c r="Y51" s="2213">
        <f t="shared" ref="Y51" si="236">IF(Y14&gt;0,(Y42*Y50*2.02%),0)</f>
        <v>0</v>
      </c>
      <c r="Z51" s="1575">
        <f t="shared" si="235"/>
        <v>0</v>
      </c>
      <c r="AA51" s="1570">
        <f t="shared" si="235"/>
        <v>0</v>
      </c>
      <c r="AB51" s="1571">
        <f t="shared" si="235"/>
        <v>0</v>
      </c>
      <c r="AC51" s="1571">
        <f t="shared" si="235"/>
        <v>0</v>
      </c>
      <c r="AD51" s="1571">
        <f t="shared" si="235"/>
        <v>0</v>
      </c>
      <c r="AE51" s="1571">
        <f t="shared" ref="AE51" si="237">IF(AE14&gt;0,(AE42*AE50*2.02%),0)</f>
        <v>0</v>
      </c>
      <c r="AF51" s="1571">
        <f t="shared" si="235"/>
        <v>0</v>
      </c>
      <c r="AG51" s="1571">
        <f t="shared" si="235"/>
        <v>0</v>
      </c>
      <c r="AH51" s="1571">
        <f t="shared" si="235"/>
        <v>0</v>
      </c>
      <c r="AI51" s="1571">
        <f t="shared" si="235"/>
        <v>0</v>
      </c>
      <c r="AJ51" s="1571">
        <f t="shared" si="235"/>
        <v>0</v>
      </c>
      <c r="AK51" s="1571">
        <f t="shared" ref="AK51:AN51" si="238">IF(AK14&gt;0,(AK42*AK50*2.02%),0)</f>
        <v>0</v>
      </c>
      <c r="AL51" s="1571">
        <f t="shared" si="238"/>
        <v>0</v>
      </c>
      <c r="AM51" s="1571">
        <f t="shared" si="238"/>
        <v>0</v>
      </c>
      <c r="AN51" s="1571">
        <f t="shared" si="238"/>
        <v>0</v>
      </c>
      <c r="AO51" s="1571">
        <f t="shared" ref="AO51:AY51" si="239">IF(AO14&gt;0,(AO42*AO50*2.02%),0)</f>
        <v>0</v>
      </c>
      <c r="AP51" s="1571">
        <f t="shared" si="239"/>
        <v>0</v>
      </c>
      <c r="AQ51" s="1575">
        <f t="shared" si="239"/>
        <v>0</v>
      </c>
      <c r="AR51" s="2234">
        <f t="shared" si="239"/>
        <v>0</v>
      </c>
      <c r="AS51" s="2213">
        <f t="shared" si="239"/>
        <v>0</v>
      </c>
      <c r="AT51" s="2213">
        <f t="shared" si="239"/>
        <v>0</v>
      </c>
      <c r="AU51" s="2269">
        <f t="shared" si="239"/>
        <v>0</v>
      </c>
      <c r="AV51" s="2147">
        <f t="shared" si="239"/>
        <v>0</v>
      </c>
      <c r="AW51" s="2213">
        <f t="shared" si="239"/>
        <v>0</v>
      </c>
      <c r="AX51" s="2213">
        <f t="shared" si="239"/>
        <v>0</v>
      </c>
      <c r="AY51" s="2269">
        <f t="shared" si="239"/>
        <v>0</v>
      </c>
      <c r="AZ51" s="1573"/>
      <c r="BA51" s="1574"/>
      <c r="BB51" s="2234">
        <f t="shared" ref="BB51:BL51" si="240">IF(BB14&gt;0,(BB42*BB50*2.02%),0)</f>
        <v>0</v>
      </c>
      <c r="BC51" s="2147">
        <f t="shared" ref="BC51" si="241">IF(BC14&gt;0,(BC42*BC50*2.02%),0)</f>
        <v>0</v>
      </c>
      <c r="BD51" s="1571">
        <f t="shared" si="240"/>
        <v>0</v>
      </c>
      <c r="BE51" s="1571">
        <f t="shared" si="240"/>
        <v>0</v>
      </c>
      <c r="BF51" s="1571">
        <f t="shared" si="240"/>
        <v>0</v>
      </c>
      <c r="BG51" s="1571">
        <f t="shared" si="240"/>
        <v>0</v>
      </c>
      <c r="BH51" s="1571">
        <f t="shared" si="240"/>
        <v>0</v>
      </c>
      <c r="BI51" s="1571">
        <f t="shared" si="240"/>
        <v>0</v>
      </c>
      <c r="BJ51" s="1571">
        <f t="shared" si="240"/>
        <v>0</v>
      </c>
      <c r="BK51" s="1571">
        <f t="shared" si="240"/>
        <v>0</v>
      </c>
      <c r="BL51" s="1572">
        <f t="shared" si="240"/>
        <v>0</v>
      </c>
      <c r="BM51" s="1576"/>
      <c r="BN51" s="1574"/>
      <c r="BO51" s="1570">
        <f t="shared" ref="BO51:BX51" si="242">IF(BO14&gt;0,(BO42*BO50*2.02%),0)</f>
        <v>0</v>
      </c>
      <c r="BP51" s="1571">
        <f t="shared" si="242"/>
        <v>0</v>
      </c>
      <c r="BQ51" s="1571">
        <f t="shared" si="242"/>
        <v>0</v>
      </c>
      <c r="BR51" s="1571">
        <f t="shared" si="242"/>
        <v>0</v>
      </c>
      <c r="BS51" s="1571">
        <f t="shared" si="242"/>
        <v>0</v>
      </c>
      <c r="BT51" s="1571">
        <f t="shared" si="242"/>
        <v>0</v>
      </c>
      <c r="BU51" s="1571">
        <f t="shared" si="242"/>
        <v>0</v>
      </c>
      <c r="BV51" s="1571">
        <f t="shared" si="242"/>
        <v>0</v>
      </c>
      <c r="BW51" s="1571">
        <f t="shared" si="242"/>
        <v>0</v>
      </c>
      <c r="BX51" s="1572">
        <f t="shared" si="242"/>
        <v>0</v>
      </c>
      <c r="BY51" s="1576"/>
      <c r="BZ51" s="1574"/>
      <c r="CA51" s="1569">
        <f t="shared" ref="CA51:CH51" si="243">IF(CA14&gt;0,(CA42*CA50*2.02%),0)</f>
        <v>0</v>
      </c>
      <c r="CB51" s="1569">
        <f t="shared" si="243"/>
        <v>0</v>
      </c>
      <c r="CC51" s="1569">
        <f t="shared" si="243"/>
        <v>0</v>
      </c>
      <c r="CD51" s="1569">
        <f t="shared" si="243"/>
        <v>0</v>
      </c>
      <c r="CE51" s="1569">
        <f t="shared" si="243"/>
        <v>0</v>
      </c>
      <c r="CF51" s="1569">
        <f t="shared" si="243"/>
        <v>0</v>
      </c>
      <c r="CG51" s="1569">
        <f t="shared" si="243"/>
        <v>0</v>
      </c>
      <c r="CH51" s="1569">
        <f t="shared" si="243"/>
        <v>0</v>
      </c>
      <c r="CI51" s="1576"/>
      <c r="CJ51" s="1574"/>
      <c r="CK51" s="1569">
        <f t="shared" ref="CK51:CU51" si="244">IF(CK14&gt;0,(CK42*CK50*2.02%),0)</f>
        <v>0</v>
      </c>
      <c r="CL51" s="1569">
        <f t="shared" si="244"/>
        <v>0</v>
      </c>
      <c r="CM51" s="1569">
        <f t="shared" si="244"/>
        <v>0</v>
      </c>
      <c r="CN51" s="1569">
        <f t="shared" si="244"/>
        <v>0</v>
      </c>
      <c r="CO51" s="1569">
        <f t="shared" si="244"/>
        <v>0</v>
      </c>
      <c r="CP51" s="1569">
        <f t="shared" si="244"/>
        <v>0</v>
      </c>
      <c r="CQ51" s="1569">
        <f t="shared" si="244"/>
        <v>0</v>
      </c>
      <c r="CR51" s="1569">
        <f t="shared" si="244"/>
        <v>0</v>
      </c>
      <c r="CS51" s="1569">
        <f t="shared" si="244"/>
        <v>0</v>
      </c>
      <c r="CT51" s="1569">
        <f t="shared" si="244"/>
        <v>0</v>
      </c>
      <c r="CU51" s="1569">
        <f t="shared" si="244"/>
        <v>0</v>
      </c>
      <c r="CV51" s="1576"/>
      <c r="CW51" s="1574"/>
      <c r="CX51" s="1569">
        <f>IF(CX14&gt;0,(CX42*CX50*2.02%),0)</f>
        <v>0</v>
      </c>
      <c r="CY51" s="1569">
        <f>IF(CY14&gt;0,(CY42*CY50*2.02%),0)</f>
        <v>0</v>
      </c>
      <c r="CZ51" s="1569">
        <f>IF(CZ14&gt;0,(CZ42*CZ50*2.02%),0)</f>
        <v>0</v>
      </c>
      <c r="DA51" s="1569">
        <f>IF(DA14&gt;0,(DA42*DA50*2.02%),0)</f>
        <v>0</v>
      </c>
      <c r="DB51" s="1569">
        <f>IF(DB14&gt;0,(DB42*DB50*2.02%),0)</f>
        <v>0</v>
      </c>
      <c r="DC51" s="1576"/>
      <c r="DD51" s="1574"/>
      <c r="DE51" s="74"/>
    </row>
    <row r="52" spans="1:134" ht="57" customHeight="1">
      <c r="A52" s="3132" t="str">
        <f>'lon undervisning'!A65</f>
        <v>Antal særlige feriedage optjent 2024 som ikke er afholdt i perioden 1. maj 2025 - 30. april 2026 og som udbetales 30. april 2026. Hvis den ansatte har mere end en kolonne, oplyses antal skyldige særlige feriedage i den kolonne der videreføres til 2027. Ved en ansat der fratræder oplyses her antal feriedage og særlige feriedage der afregnes med.</v>
      </c>
      <c r="B52" s="3133"/>
      <c r="C52" s="2194"/>
      <c r="D52" s="2195"/>
      <c r="E52" s="2148"/>
      <c r="F52" s="2214"/>
      <c r="G52" s="1579"/>
      <c r="H52" s="1579"/>
      <c r="I52" s="1579"/>
      <c r="J52" s="1579"/>
      <c r="K52" s="1579"/>
      <c r="L52" s="1579"/>
      <c r="M52" s="1579"/>
      <c r="N52" s="1579"/>
      <c r="O52" s="1579"/>
      <c r="P52" s="1579"/>
      <c r="Q52" s="1579"/>
      <c r="R52" s="1579"/>
      <c r="S52" s="1579"/>
      <c r="T52" s="1579"/>
      <c r="U52" s="1577"/>
      <c r="V52" s="1580"/>
      <c r="W52" s="1581"/>
      <c r="X52" s="2235"/>
      <c r="Y52" s="2214"/>
      <c r="Z52" s="1582"/>
      <c r="AA52" s="1578"/>
      <c r="AB52" s="1579"/>
      <c r="AC52" s="1579"/>
      <c r="AD52" s="1579"/>
      <c r="AE52" s="1579"/>
      <c r="AF52" s="1579"/>
      <c r="AG52" s="1579"/>
      <c r="AH52" s="1579"/>
      <c r="AI52" s="1579"/>
      <c r="AJ52" s="1579"/>
      <c r="AK52" s="1579"/>
      <c r="AL52" s="1579"/>
      <c r="AM52" s="1579"/>
      <c r="AN52" s="1579"/>
      <c r="AO52" s="1579"/>
      <c r="AP52" s="1579"/>
      <c r="AQ52" s="1582"/>
      <c r="AR52" s="2235"/>
      <c r="AS52" s="2214"/>
      <c r="AT52" s="2214"/>
      <c r="AU52" s="2270"/>
      <c r="AV52" s="2148"/>
      <c r="AW52" s="2214"/>
      <c r="AX52" s="2214"/>
      <c r="AY52" s="2270"/>
      <c r="AZ52" s="1580"/>
      <c r="BA52" s="1581"/>
      <c r="BB52" s="2235"/>
      <c r="BC52" s="2148"/>
      <c r="BD52" s="1579"/>
      <c r="BE52" s="1579"/>
      <c r="BF52" s="1579"/>
      <c r="BG52" s="1579"/>
      <c r="BH52" s="1579"/>
      <c r="BI52" s="1579"/>
      <c r="BJ52" s="1579"/>
      <c r="BK52" s="1579"/>
      <c r="BL52" s="1577"/>
      <c r="BM52" s="1583"/>
      <c r="BN52" s="1581"/>
      <c r="BO52" s="1578"/>
      <c r="BP52" s="1579"/>
      <c r="BQ52" s="1579"/>
      <c r="BR52" s="1579"/>
      <c r="BS52" s="1579"/>
      <c r="BT52" s="1579"/>
      <c r="BU52" s="1579"/>
      <c r="BV52" s="1579"/>
      <c r="BW52" s="1579"/>
      <c r="BX52" s="1582"/>
      <c r="BY52" s="1583"/>
      <c r="BZ52" s="1581"/>
      <c r="CA52" s="1578"/>
      <c r="CB52" s="1579"/>
      <c r="CC52" s="1579"/>
      <c r="CD52" s="1579"/>
      <c r="CE52" s="1579"/>
      <c r="CF52" s="1579"/>
      <c r="CG52" s="1579"/>
      <c r="CH52" s="1577"/>
      <c r="CI52" s="1583"/>
      <c r="CJ52" s="1581"/>
      <c r="CK52" s="1578"/>
      <c r="CL52" s="1579"/>
      <c r="CM52" s="1579"/>
      <c r="CN52" s="1579"/>
      <c r="CO52" s="1579"/>
      <c r="CP52" s="1579"/>
      <c r="CQ52" s="1579"/>
      <c r="CR52" s="1579"/>
      <c r="CS52" s="1579"/>
      <c r="CT52" s="1579"/>
      <c r="CU52" s="1582"/>
      <c r="CV52" s="1583"/>
      <c r="CW52" s="1581"/>
      <c r="CX52" s="1578"/>
      <c r="CY52" s="1579"/>
      <c r="CZ52" s="1579"/>
      <c r="DA52" s="1579"/>
      <c r="DB52" s="1577"/>
      <c r="DC52" s="1576"/>
      <c r="DD52" s="1574"/>
      <c r="DE52" s="74"/>
    </row>
    <row r="53" spans="1:134" ht="35" customHeight="1" thickBot="1">
      <c r="A53" s="3132" t="str">
        <f>'lon undervisning'!A66</f>
        <v>Særlige feriedage optjent 2024 - udbetalt april 2026 (0,5% pr. skyldig dag) ELLER hvis afregne - skriv antal dage der afregnes med</v>
      </c>
      <c r="B53" s="3133"/>
      <c r="C53" s="2215">
        <f>((C42+C43)*12/C22*SatsBilag!$B$8-((C42+C43)/C22*SatsBilag!$B$8*12/52/5*25))*0.5%*C52</f>
        <v>0</v>
      </c>
      <c r="D53" s="2216">
        <f>((D42+D43)*12/D22*SatsBilag!$B$8-((D42+D43)/D22*SatsBilag!$B$8*12/52/5*25))*0.5%*D52</f>
        <v>0</v>
      </c>
      <c r="E53" s="2079">
        <f>((E42+E43)*12/E22*SatsBilag!$B$8-((E42+E43)/E22*SatsBilag!$B$8*12/52/5*25))*0.5%*E52</f>
        <v>0</v>
      </c>
      <c r="F53" s="2089">
        <f>((F42+F43)*12/F22*SatsBilag!$B$8-((F42+F43)/F22*SatsBilag!$B$8*12/52/5*25))*0.5%*F52</f>
        <v>0</v>
      </c>
      <c r="G53" s="2089">
        <f>((G42+G43)*12/G22*SatsBilag!$B$8-((G42+G43)/G22*SatsBilag!$B$8*12/52/5*25))*0.5%*G52</f>
        <v>0</v>
      </c>
      <c r="H53" s="2089">
        <f>((H42+H43)*12/H22*SatsBilag!$B$8-((H42+H43)/H22*SatsBilag!$B$8*12/52/5*25))*0.5%*H52</f>
        <v>0</v>
      </c>
      <c r="I53" s="2089">
        <f>((I42+I43)*12/I22*SatsBilag!$B$8-((I42+I43)/I22*SatsBilag!$B$8*12/52/5*25))*0.5%*I52</f>
        <v>0</v>
      </c>
      <c r="J53" s="2089">
        <f>((J42+J43)*12/J22*SatsBilag!$B$8-((J42+J43)/J22*SatsBilag!$B$8*12/52/5*25))*0.5%*J52</f>
        <v>0</v>
      </c>
      <c r="K53" s="2089">
        <f>((K42+K43)*12/K22*SatsBilag!$B$8-((K42+K43)/K22*SatsBilag!$B$8*12/52/5*25))*0.5%*K52</f>
        <v>0</v>
      </c>
      <c r="L53" s="2089">
        <f>((L42+L43)*12/L22*SatsBilag!$B$8-((L42+L43)/L22*SatsBilag!$B$8*12/52/5*25))*0.5%*L52</f>
        <v>0</v>
      </c>
      <c r="M53" s="2089">
        <f>((M42+M43)*12/M22*SatsBilag!$B$8-((M42+M43)/M22*SatsBilag!$B$8*12/52/5*25))*0.5%*M52</f>
        <v>0</v>
      </c>
      <c r="N53" s="2089">
        <f>((N42+N43)*12/N22*SatsBilag!$B$8-((N42+N43)/N22*SatsBilag!$B$8*12/52/5*25))*0.5%*N52</f>
        <v>0</v>
      </c>
      <c r="O53" s="2089">
        <f>((O42+O43)*12/O22*SatsBilag!$B$8-((O42+O43)/O22*SatsBilag!$B$8*12/52/5*25))*0.5%*O52</f>
        <v>0</v>
      </c>
      <c r="P53" s="2089">
        <f>((P42+P43)*12/P22*SatsBilag!$B$8-((P42+P43)/P22*SatsBilag!$B$8*12/52/5*25))*0.5%*P52</f>
        <v>0</v>
      </c>
      <c r="Q53" s="2089">
        <f>((Q42+Q43)*12/Q22*SatsBilag!$B$8-((Q42+Q43)/Q22*SatsBilag!$B$8*12/52/5*25))*0.5%*Q52</f>
        <v>0</v>
      </c>
      <c r="R53" s="2089">
        <f>((R42+R43)*12/R22*SatsBilag!$B$8-((R42+R43)/R22*SatsBilag!$B$8*12/52/5*25))*0.5%*R52</f>
        <v>0</v>
      </c>
      <c r="S53" s="2089">
        <f>((S42+S43)*12/S22*SatsBilag!$B$8-((S42+S43)/S22*SatsBilag!$B$8*12/52/5*25))*0.5%*S52</f>
        <v>0</v>
      </c>
      <c r="T53" s="2089">
        <f>((T42+T43)*12/T22*SatsBilag!$B$8-((T42+T43)/T22*SatsBilag!$B$8*12/52/5*25))*0.5%*T52</f>
        <v>0</v>
      </c>
      <c r="U53" s="2090">
        <f>((U42+U43)*12/U22*SatsBilag!$B$8-((U42+U43)/U22*SatsBilag!$B$8*12/52/5*25))*0.5%*U52</f>
        <v>0</v>
      </c>
      <c r="V53" s="2217"/>
      <c r="W53" s="2218"/>
      <c r="X53" s="2236">
        <f>((X42+X43)*12/X22*SatsBilag!$B$8-((X42+X43)/X22*SatsBilag!$B$8*12/52/5*25))*0.5%*X52</f>
        <v>0</v>
      </c>
      <c r="Y53" s="2237">
        <f>((Y42+Y43)*12/Y22*SatsBilag!$B$8-((Y42+Y43)/Y22*SatsBilag!$B$8*12/52/5*25))*0.5%*Y52</f>
        <v>0</v>
      </c>
      <c r="Z53" s="1589">
        <f>((Z42+Z43)*12/Z22*SatsBilag!$B$8-((Z42+Z43)/Z22*SatsBilag!$B$8*12/52/5*25))*0.5%*Z52</f>
        <v>0</v>
      </c>
      <c r="AA53" s="1585">
        <f>((AA42+AA43)*12/AA22*SatsBilag!$B$8-((AA42+AA43)/AA22*SatsBilag!$B$8*12/52/5*25))*0.5%*AA52</f>
        <v>0</v>
      </c>
      <c r="AB53" s="1586">
        <f>((AB42+AB43)*12/AB22*SatsBilag!$B$8-((AB42+AB43)/AB22*SatsBilag!$B$8*12/52/5*25))*0.5%*AB52</f>
        <v>0</v>
      </c>
      <c r="AC53" s="1586">
        <f>((AC42+AC43)*12/AC22*SatsBilag!$B$8-((AC42+AC43)/AC22*SatsBilag!$B$8*12/52/5*25))*0.5%*AC52</f>
        <v>0</v>
      </c>
      <c r="AD53" s="1586">
        <f>((AD42+AD43)*12/AD22*SatsBilag!$B$8-((AD42+AD43)/AD22*SatsBilag!$B$8*12/52/5*25))*0.5%*AD52</f>
        <v>0</v>
      </c>
      <c r="AE53" s="1586">
        <f>((AE42+AE43)*12/AE22*SatsBilag!$B$8-((AE42+AE43)/AE22*SatsBilag!$B$8*12/52/5*25))*0.5%*AE52</f>
        <v>0</v>
      </c>
      <c r="AF53" s="1586">
        <f>((AF42+AF43)*12/AF22*SatsBilag!$B$8-((AF42+AF43)/AF22*SatsBilag!$B$8*12/52/5*25))*0.5%*AF52</f>
        <v>0</v>
      </c>
      <c r="AG53" s="1586">
        <f>((AG42+AG43)*12/AG22*SatsBilag!$B$8-((AG42+AG43)/AG22*SatsBilag!$B$8*12/52/5*25))*0.5%*AG52</f>
        <v>0</v>
      </c>
      <c r="AH53" s="1586">
        <f>((AH42+AH43)*12/AH22*SatsBilag!$B$8-((AH42+AH43)/AH22*SatsBilag!$B$8*12/52/5*25))*0.5%*AH52</f>
        <v>0</v>
      </c>
      <c r="AI53" s="1586">
        <f>((AI42+AI43)*12/AI22*SatsBilag!$B$8-((AI42+AI43)/AI22*SatsBilag!$B$8*12/52/5*25))*0.5%*AI52</f>
        <v>0</v>
      </c>
      <c r="AJ53" s="1586">
        <f>((AJ42+AJ43)*12/AJ22*SatsBilag!$B$8-((AJ42+AJ43)/AJ22*SatsBilag!$B$8*12/52/5*25))*0.5%*AJ52</f>
        <v>0</v>
      </c>
      <c r="AK53" s="1586">
        <f>((AK42+AK43)*12/AK22*SatsBilag!$B$8-((AK42+AK43)/AK22*SatsBilag!$B$8*12/52/5*25))*0.5%*AK52</f>
        <v>0</v>
      </c>
      <c r="AL53" s="1586">
        <f>((AL42+AL43)*12/AL22*SatsBilag!$B$8-((AL42+AL43)/AL22*SatsBilag!$B$8*12/52/5*25))*0.5%*AL52</f>
        <v>0</v>
      </c>
      <c r="AM53" s="1586">
        <f>((AM42+AM43)*12/AM22*SatsBilag!$B$8-((AM42+AM43)/AM22*SatsBilag!$B$8*12/52/5*25))*0.5%*AM52</f>
        <v>0</v>
      </c>
      <c r="AN53" s="1586">
        <f>((AN42+AN43)*12/AN22*SatsBilag!$B$8-((AN42+AN43)/AN22*SatsBilag!$B$8*12/52/5*25))*0.5%*AN52</f>
        <v>0</v>
      </c>
      <c r="AO53" s="1586">
        <f>((AO42+AO43)*12/AO22*SatsBilag!$B$8-((AO42+AO43)/AO22*SatsBilag!$B$8*12/52/5*25))*0.5%*AO52</f>
        <v>0</v>
      </c>
      <c r="AP53" s="1586">
        <f>((AP42+AP43)*12/AP22*SatsBilag!$B$8-((AP42+AP43)/AP22*SatsBilag!$B$8*12/52/5*25))*0.5%*AP52</f>
        <v>0</v>
      </c>
      <c r="AQ53" s="2076">
        <f>((AQ42+AQ43)*12/AQ22*SatsBilag!$B$8-((AQ42+AQ43)/AQ22*SatsBilag!$B$8*12/52/5*25))*0.5%*AQ52</f>
        <v>0</v>
      </c>
      <c r="AR53" s="2276">
        <f>((AR42+AR43)*12/AR22*SatsBilag!$B$8-((AR42+AR43)/AR22*SatsBilag!$B$8*12/52/5*25))*0.5%*AR52</f>
        <v>0</v>
      </c>
      <c r="AS53" s="2277">
        <f>((AS42+AS43)*12/AS22*SatsBilag!$B$8-((AS42+AS43)/AS22*SatsBilag!$B$8*12/52/5*25))*0.5%*AS52</f>
        <v>0</v>
      </c>
      <c r="AT53" s="2277">
        <f>((AT42+AT43)*12/AT22*SatsBilag!$B$8-((AT42+AT43)/AT22*SatsBilag!$B$8*12/52/5*25))*0.5%*AT52</f>
        <v>0</v>
      </c>
      <c r="AU53" s="2278">
        <f>((AU42+AU43)*12/AU22*SatsBilag!$B$8-((AU42+AU43)/AU22*SatsBilag!$B$8*12/52/5*25))*0.5%*AU52</f>
        <v>0</v>
      </c>
      <c r="AV53" s="2276">
        <f>((AV42+AV43)*12/AV22*SatsBilag!$B$8-((AV42+AV43)/AV22*SatsBilag!$B$8*12/52/5*25))*0.5%*AV52</f>
        <v>0</v>
      </c>
      <c r="AW53" s="2277">
        <f>((AW42+AW43)*12/AW22*SatsBilag!$B$8-((AW42+AW43)/AW22*SatsBilag!$B$8*12/52/5*25))*0.5%*AW52</f>
        <v>0</v>
      </c>
      <c r="AX53" s="2277">
        <f>((AX42+AX43)*12/AX22*SatsBilag!$B$8-((AX42+AX43)/AX22*SatsBilag!$B$8*12/52/5*25))*0.5%*AX52</f>
        <v>0</v>
      </c>
      <c r="AY53" s="2278">
        <f>((AY42+AY43)*12/AY22*SatsBilag!$B$8-((AY42+AY43)/AY22*SatsBilag!$B$8*12/52/5*25))*0.5%*AY52</f>
        <v>0</v>
      </c>
      <c r="AZ53" s="1587"/>
      <c r="BA53" s="1588"/>
      <c r="BB53" s="2236">
        <f>((BB42+BB43)*12/BB22*SatsBilag!$B$8-((BB42+BB43)/BB22*SatsBilag!$B$8*12/52/5*25))*0.5%*BB52</f>
        <v>0</v>
      </c>
      <c r="BC53" s="2079">
        <f>((BC42+BC43)*12/BC22*SatsBilag!$B$8-((BC42+BC43)/BC22*SatsBilag!$B$8*12/52/5*25))*0.5%*BC52</f>
        <v>0</v>
      </c>
      <c r="BD53" s="1586">
        <f>((BD42+BD43)*12/BD22*SatsBilag!$B$8-((BD42+BD43)/BD22*SatsBilag!$B$8*12/52/5*25))*0.5%*BD52</f>
        <v>0</v>
      </c>
      <c r="BE53" s="1586">
        <f>((BE42+BE43)*12/BE22*SatsBilag!$B$8-((BE42+BE43)/BE22*SatsBilag!$B$8*12/52/5*25))*0.5%*BE52</f>
        <v>0</v>
      </c>
      <c r="BF53" s="1586">
        <f>((BF42+BF43)*12/BF22*SatsBilag!$B$8-((BF42+BF43)/BF22*SatsBilag!$B$8*12/52/5*25))*0.5%*BF52</f>
        <v>0</v>
      </c>
      <c r="BG53" s="1586">
        <f>((BG42+BG43)*12/BG22*SatsBilag!$B$8-((BG42+BG43)/BG22*SatsBilag!$B$8*12/52/5*25))*0.5%*BG52</f>
        <v>0</v>
      </c>
      <c r="BH53" s="1586">
        <f>((BH42+BH43)*12/BH22*SatsBilag!$B$8-((BH42+BH43)/BH22*SatsBilag!$B$8*12/52/5*25))*0.5%*BH52</f>
        <v>0</v>
      </c>
      <c r="BI53" s="1586">
        <f>((BI42+BI43)*12/BI22*SatsBilag!$B$8-((BI42+BI43)/BI22*SatsBilag!$B$8*12/52/5*25))*0.5%*BI52</f>
        <v>0</v>
      </c>
      <c r="BJ53" s="1586">
        <f>((BJ42+BJ43)*12/BJ22*SatsBilag!$B$8-((BJ42+BJ43)/BJ22*SatsBilag!$B$8*12/52/5*25))*0.5%*BJ52</f>
        <v>0</v>
      </c>
      <c r="BK53" s="1586">
        <f>((BK42+BK43)*12/BK22*SatsBilag!$B$8-((BK42+BK43)/BK22*SatsBilag!$B$8*12/52/5*25))*0.5%*BK52</f>
        <v>0</v>
      </c>
      <c r="BL53" s="1584">
        <f>((BL42+BL43)*12/BL22*SatsBilag!$B$8-((BL42+BL43)/BL22*SatsBilag!$B$8*12/52/5*25))*0.5%*BL52</f>
        <v>0</v>
      </c>
      <c r="BM53" s="1590"/>
      <c r="BN53" s="1588"/>
      <c r="BO53" s="1585">
        <f>((BO42+BO43)*12/BO22*SatsBilag!$B$8-((BO42+BO43)/BO22*SatsBilag!$B$8*12/52/5*25))*0.5%*BO52</f>
        <v>0</v>
      </c>
      <c r="BP53" s="1586">
        <f>((BP42+BP43)*12/BP22*SatsBilag!$B$8-((BP42+BP43)/BP22*SatsBilag!$B$8*12/52/5*25))*0.5%*BP52</f>
        <v>0</v>
      </c>
      <c r="BQ53" s="1586">
        <f>((BQ42+BQ43)*12/BQ22*SatsBilag!$B$8-((BQ42+BQ43)/BQ22*SatsBilag!$B$8*12/52/5*25))*0.5%*BQ52</f>
        <v>0</v>
      </c>
      <c r="BR53" s="1586">
        <f>((BR42+BR43)*12/BR22*SatsBilag!$B$8-((BR42+BR43)/BR22*SatsBilag!$B$8*12/52/5*25))*0.5%*BR52</f>
        <v>0</v>
      </c>
      <c r="BS53" s="1586">
        <f>((BS42+BS43)*12/BS22*SatsBilag!$B$8-((BS42+BS43)/BS22*SatsBilag!$B$8*12/52/5*25))*0.5%*BS52</f>
        <v>0</v>
      </c>
      <c r="BT53" s="1586">
        <f>((BT42+BT43)*12/BT22*SatsBilag!$B$8-((BT42+BT43)/BT22*SatsBilag!$B$8*12/52/5*25))*0.5%*BT52</f>
        <v>0</v>
      </c>
      <c r="BU53" s="1586">
        <f>((BU42+BU43)*12/BU22*SatsBilag!$B$8-((BU42+BU43)/BU22*SatsBilag!$B$8*12/52/5*25))*0.5%*BU52</f>
        <v>0</v>
      </c>
      <c r="BV53" s="1586">
        <f>((BV42+BV43)*12/BV22*SatsBilag!$B$8-((BV42+BV43)/BV22*SatsBilag!$B$8*12/52/5*25))*0.5%*BV52</f>
        <v>0</v>
      </c>
      <c r="BW53" s="1586">
        <f>((BW42+BW43)*12/BW22*SatsBilag!$B$8-((BW42+BW43)/BW22*SatsBilag!$B$8*12/52/5*25))*0.5%*BW52</f>
        <v>0</v>
      </c>
      <c r="BX53" s="1589">
        <f>((BX42+BX43)*12/BX22*SatsBilag!$B$8-((BX42+BX43)/BX22*SatsBilag!$B$8*12/52/5*25))*0.5%*BX52</f>
        <v>0</v>
      </c>
      <c r="BY53" s="1590"/>
      <c r="BZ53" s="1588"/>
      <c r="CA53" s="1585">
        <f>((CA42+CA43)*12/CA22*SatsBilag!$B$8-((CA42+CA43)/CA22*SatsBilag!$B$8*12/52/5*25))*0.5%*CA52</f>
        <v>0</v>
      </c>
      <c r="CB53" s="1586">
        <f>((CB42+CB43)*12/CB22*SatsBilag!$B$8-((CB42+CB43)/CB22*SatsBilag!$B$8*12/52/5*25))*0.5%*CB52</f>
        <v>0</v>
      </c>
      <c r="CC53" s="1586">
        <f>((CC42+CC43)*12/CC22*SatsBilag!$B$8-((CC42+CC43)/CC22*SatsBilag!$B$8*12/52/5*25))*0.5%*CC52</f>
        <v>0</v>
      </c>
      <c r="CD53" s="1586">
        <f>((CD42+CD43)*12/CD22*SatsBilag!$B$8-((CD42+CD43)/CD22*SatsBilag!$B$8*12/52/5*25))*0.5%*CD52</f>
        <v>0</v>
      </c>
      <c r="CE53" s="1586">
        <f>((CE42+CE43)*12/CE22*SatsBilag!$B$8-((CE42+CE43)/CE22*SatsBilag!$B$8*12/52/5*25))*0.5%*CE52</f>
        <v>0</v>
      </c>
      <c r="CF53" s="1586">
        <f>((CF42+CF43)*12/CF22*SatsBilag!$B$8-((CF42+CF43)/CF22*SatsBilag!$B$8*12/52/5*25))*0.5%*CF52</f>
        <v>0</v>
      </c>
      <c r="CG53" s="1586">
        <f>((CG42+CG43)*12/CG22*SatsBilag!$B$8-((CG42+CG43)/CG22*SatsBilag!$B$8*12/52/5*25))*0.5%*CG52</f>
        <v>0</v>
      </c>
      <c r="CH53" s="1584">
        <f>((CH42+CH43)*12/CH22*SatsBilag!$B$8-((CH42+CH43)/CH22*SatsBilag!$B$8*12/52/5*25))*0.5%*CH52</f>
        <v>0</v>
      </c>
      <c r="CI53" s="1590"/>
      <c r="CJ53" s="1588"/>
      <c r="CK53" s="1585">
        <f>((CK42+CK43)*12/CK22*SatsBilag!$B$8-((CK42+CK43)/CK22*SatsBilag!$B$8*12/52/5*25))*0.5%*CK52</f>
        <v>0</v>
      </c>
      <c r="CL53" s="1586">
        <f>((CL42+CL43)*12/CL22*SatsBilag!$B$8-((CL42+CL43)/CL22*SatsBilag!$B$8*12/52/5*25))*0.5%*CL52</f>
        <v>0</v>
      </c>
      <c r="CM53" s="1586">
        <f>((CM42+CM43)*12/CM22*SatsBilag!$B$8-((CM42+CM43)/CM22*SatsBilag!$B$8*12/52/5*25))*0.5%*CM52</f>
        <v>0</v>
      </c>
      <c r="CN53" s="1586">
        <f>((CN42+CN43)*12/CN22*SatsBilag!$B$8-((CN42+CN43)/CN22*SatsBilag!$B$8*12/52/5*25))*0.5%*CN52</f>
        <v>0</v>
      </c>
      <c r="CO53" s="1586">
        <f>((CO42+CO43)*12/CO22*SatsBilag!$B$8-((CO42+CO43)/CO22*SatsBilag!$B$8*12/52/5*25))*0.5%*CO52</f>
        <v>0</v>
      </c>
      <c r="CP53" s="1586">
        <f>((CP42+CP43)*12/CP22*SatsBilag!$B$8-((CP42+CP43)/CP22*SatsBilag!$B$8*12/52/5*25))*0.5%*CP52</f>
        <v>0</v>
      </c>
      <c r="CQ53" s="1586">
        <f>((CQ42+CQ43)*12/CQ22*SatsBilag!$B$8-((CQ42+CQ43)/CQ22*SatsBilag!$B$8*12/52/5*25))*0.5%*CQ52</f>
        <v>0</v>
      </c>
      <c r="CR53" s="1586">
        <f>((CR42+CR43)*12/CR22*SatsBilag!$B$8-((CR42+CR43)/CR22*SatsBilag!$B$8*12/52/5*25))*0.5%*CR52</f>
        <v>0</v>
      </c>
      <c r="CS53" s="1586">
        <f>((CS42+CS43)*12/CS22*SatsBilag!$B$8-((CS42+CS43)/CS22*SatsBilag!$B$8*12/52/5*25))*0.5%*CS52</f>
        <v>0</v>
      </c>
      <c r="CT53" s="1586">
        <f>((CT42+CT43)*12/CT22*SatsBilag!$B$8-((CT42+CT43)/CT22*SatsBilag!$B$8*12/52/5*25))*0.5%*CT52</f>
        <v>0</v>
      </c>
      <c r="CU53" s="1589">
        <f>((CU42+CU43)*12/CU22*SatsBilag!$B$8-((CU42+CU43)/CU22*SatsBilag!$B$8*12/52/5*25))*0.5%*CU52</f>
        <v>0</v>
      </c>
      <c r="CV53" s="1590"/>
      <c r="CW53" s="1588"/>
      <c r="CX53" s="1585">
        <f>((CX42+CX43)*12/CX22*SatsBilag!$B$8-((CX42+CX43)/CX22*SatsBilag!$B$8*12/52/5*25))*0.5%*CX52</f>
        <v>0</v>
      </c>
      <c r="CY53" s="1586">
        <f>((CY42+CY43)*12/CY22*SatsBilag!$B$8-((CY42+CY43)/CY22*SatsBilag!$B$8*12/52/5*25))*0.5%*CY52</f>
        <v>0</v>
      </c>
      <c r="CZ53" s="1586">
        <f>((CZ42+CZ43)*12/CZ22*SatsBilag!$B$8-((CZ42+CZ43)/CZ22*SatsBilag!$B$8*12/52/5*25))*0.5%*CZ52</f>
        <v>0</v>
      </c>
      <c r="DA53" s="1586">
        <f>((DA42+DA43)*12/DA22*SatsBilag!$B$8-((DA42+DA43)/DA22*SatsBilag!$B$8*12/52/5*25))*0.5%*DA52</f>
        <v>0</v>
      </c>
      <c r="DB53" s="1584">
        <f>((DB42+DB43)*12/DB22*SatsBilag!$B$8-((DB42+DB43)/DB22*SatsBilag!$B$8*12/52/5*25))*0.5%*DB52</f>
        <v>0</v>
      </c>
      <c r="DC53" s="1590"/>
      <c r="DD53" s="1588"/>
      <c r="DE53" s="74"/>
    </row>
    <row r="54" spans="1:134" ht="25" customHeight="1" thickBot="1">
      <c r="A54" s="3121" t="str">
        <f>"Skolens lønudgifter budget år "&amp;budgetår</f>
        <v>Skolens lønudgifter budget år 2026</v>
      </c>
      <c r="B54" s="3121"/>
      <c r="C54" s="601">
        <f t="shared" ref="C54:U54" si="245">IF(C16="orlov",C46*C14+C53+C51+C49-IF(C21="nej",C46/3*C14),(C48*C14)+C53+C51+C49)</f>
        <v>0</v>
      </c>
      <c r="D54" s="601">
        <f t="shared" si="245"/>
        <v>0</v>
      </c>
      <c r="E54" s="601">
        <f t="shared" si="245"/>
        <v>0</v>
      </c>
      <c r="F54" s="601">
        <f t="shared" ref="F54" si="246">IF(F16="orlov",F46*F14+F53+F51+F49-IF(F21="nej",F46/3*F14),(F48*F14)+F53+F51+F49)</f>
        <v>0</v>
      </c>
      <c r="G54" s="601">
        <f t="shared" si="245"/>
        <v>0</v>
      </c>
      <c r="H54" s="601">
        <f t="shared" si="245"/>
        <v>0</v>
      </c>
      <c r="I54" s="601">
        <f t="shared" ref="I54" si="247">IF(I16="orlov",I46*I14+I53+I51+I49-IF(I21="nej",I46/3*I14),(I48*I14)+I53+I51+I49)</f>
        <v>0</v>
      </c>
      <c r="J54" s="601">
        <f t="shared" si="245"/>
        <v>0</v>
      </c>
      <c r="K54" s="601">
        <f t="shared" si="245"/>
        <v>0</v>
      </c>
      <c r="L54" s="601">
        <f t="shared" si="245"/>
        <v>0</v>
      </c>
      <c r="M54" s="601">
        <f t="shared" si="245"/>
        <v>0</v>
      </c>
      <c r="N54" s="601">
        <f t="shared" si="245"/>
        <v>0</v>
      </c>
      <c r="O54" s="601">
        <f t="shared" si="245"/>
        <v>0</v>
      </c>
      <c r="P54" s="601">
        <f t="shared" si="245"/>
        <v>0</v>
      </c>
      <c r="Q54" s="601">
        <f t="shared" si="245"/>
        <v>0</v>
      </c>
      <c r="R54" s="601">
        <f t="shared" si="245"/>
        <v>0</v>
      </c>
      <c r="S54" s="601">
        <f t="shared" si="245"/>
        <v>0</v>
      </c>
      <c r="T54" s="601">
        <f t="shared" si="245"/>
        <v>0</v>
      </c>
      <c r="U54" s="601">
        <f t="shared" si="245"/>
        <v>0</v>
      </c>
      <c r="V54" s="601">
        <f>IF(V16="orlov",V46*V14+V53,V48*V14+V53)</f>
        <v>0</v>
      </c>
      <c r="W54" s="601">
        <f>IF(W16="orlov",W46*W14+W53,W48*W14+W53)</f>
        <v>0</v>
      </c>
      <c r="X54" s="601">
        <f t="shared" ref="X54:AJ54" si="248">IF(X16="orlov",X46*X14+X53+X51+X49-IF(X21="nej",X46/3*X14),(X48*X14)+X53+X51+X49)</f>
        <v>0</v>
      </c>
      <c r="Y54" s="601">
        <f t="shared" ref="Y54" si="249">IF(Y16="orlov",Y46*Y14+Y53+Y51+Y49-IF(Y21="nej",Y46/3*Y14),(Y48*Y14)+Y53+Y51+Y49)</f>
        <v>0</v>
      </c>
      <c r="Z54" s="601">
        <f t="shared" si="248"/>
        <v>0</v>
      </c>
      <c r="AA54" s="601">
        <f t="shared" si="248"/>
        <v>0</v>
      </c>
      <c r="AB54" s="601">
        <f t="shared" si="248"/>
        <v>0</v>
      </c>
      <c r="AC54" s="601">
        <f t="shared" si="248"/>
        <v>0</v>
      </c>
      <c r="AD54" s="601">
        <f t="shared" si="248"/>
        <v>0</v>
      </c>
      <c r="AE54" s="601">
        <f t="shared" ref="AE54" si="250">IF(AE16="orlov",AE46*AE14+AE53+AE51+AE49-IF(AE21="nej",AE46/3*AE14),(AE48*AE14)+AE53+AE51+AE49)</f>
        <v>0</v>
      </c>
      <c r="AF54" s="601">
        <f t="shared" si="248"/>
        <v>0</v>
      </c>
      <c r="AG54" s="601">
        <f t="shared" si="248"/>
        <v>0</v>
      </c>
      <c r="AH54" s="601">
        <f t="shared" si="248"/>
        <v>0</v>
      </c>
      <c r="AI54" s="601">
        <f t="shared" si="248"/>
        <v>0</v>
      </c>
      <c r="AJ54" s="601">
        <f t="shared" si="248"/>
        <v>0</v>
      </c>
      <c r="AK54" s="601">
        <f t="shared" ref="AK54:AN54" si="251">IF(AK16="orlov",AK46*AK14+AK53+AK51+AK49-IF(AK21="nej",AK46/3*AK14),(AK48*AK14)+AK53+AK51+AK49)</f>
        <v>0</v>
      </c>
      <c r="AL54" s="601">
        <f t="shared" si="251"/>
        <v>0</v>
      </c>
      <c r="AM54" s="601">
        <f t="shared" si="251"/>
        <v>0</v>
      </c>
      <c r="AN54" s="601">
        <f t="shared" si="251"/>
        <v>0</v>
      </c>
      <c r="AO54" s="601">
        <f t="shared" ref="AO54:AY54" si="252">IF(AO16="orlov",AO46*AO14+AO53+AO51+AO49-IF(AO21="nej",AO46/3*AO14),(AO48*AO14)+AO53+AO51+AO49)</f>
        <v>0</v>
      </c>
      <c r="AP54" s="601">
        <f t="shared" si="252"/>
        <v>0</v>
      </c>
      <c r="AQ54" s="601">
        <f t="shared" si="252"/>
        <v>0</v>
      </c>
      <c r="AR54" s="601">
        <f t="shared" si="252"/>
        <v>0</v>
      </c>
      <c r="AS54" s="601">
        <f t="shared" si="252"/>
        <v>0</v>
      </c>
      <c r="AT54" s="601">
        <f t="shared" si="252"/>
        <v>0</v>
      </c>
      <c r="AU54" s="601">
        <f t="shared" si="252"/>
        <v>0</v>
      </c>
      <c r="AV54" s="601">
        <f t="shared" si="252"/>
        <v>0</v>
      </c>
      <c r="AW54" s="601">
        <f t="shared" si="252"/>
        <v>0</v>
      </c>
      <c r="AX54" s="601">
        <f t="shared" si="252"/>
        <v>0</v>
      </c>
      <c r="AY54" s="601">
        <f t="shared" si="252"/>
        <v>0</v>
      </c>
      <c r="AZ54" s="601">
        <f>IF(AZ16="orlov",AZ46*AZ14+AZ53,AZ48*AZ14+AZ53)</f>
        <v>0</v>
      </c>
      <c r="BA54" s="601">
        <f>IF(BA16="orlov",BA46*BA14+BA53,BA48*BA14+BA53)</f>
        <v>0</v>
      </c>
      <c r="BB54" s="601">
        <f t="shared" ref="BB54:BL54" si="253">IF(BB16="orlov",BB46*BB14+BB53+BB51+BB49-IF(BB21="nej",BB46/3*BB14),(BB48*BB14)+BB53+BB51+BB49)</f>
        <v>0</v>
      </c>
      <c r="BC54" s="601">
        <f t="shared" ref="BC54" si="254">IF(BC16="orlov",BC46*BC14+BC53+BC51+BC49-IF(BC21="nej",BC46/3*BC14),(BC48*BC14)+BC53+BC51+BC49)</f>
        <v>0</v>
      </c>
      <c r="BD54" s="601">
        <f t="shared" si="253"/>
        <v>0</v>
      </c>
      <c r="BE54" s="601">
        <f t="shared" si="253"/>
        <v>0</v>
      </c>
      <c r="BF54" s="601">
        <f t="shared" si="253"/>
        <v>0</v>
      </c>
      <c r="BG54" s="601">
        <f t="shared" si="253"/>
        <v>0</v>
      </c>
      <c r="BH54" s="601">
        <f t="shared" si="253"/>
        <v>0</v>
      </c>
      <c r="BI54" s="601">
        <f t="shared" si="253"/>
        <v>0</v>
      </c>
      <c r="BJ54" s="601">
        <f t="shared" si="253"/>
        <v>0</v>
      </c>
      <c r="BK54" s="601">
        <f t="shared" si="253"/>
        <v>0</v>
      </c>
      <c r="BL54" s="601">
        <f t="shared" si="253"/>
        <v>0</v>
      </c>
      <c r="BM54" s="601">
        <f>IF(BM16="orlov",BM46*BM14+BM53,BM48*BM14+BM53)</f>
        <v>0</v>
      </c>
      <c r="BN54" s="601">
        <f>IF(BN16="orlov",BN46*BN14+BN53,BN48*BN14+BN53)</f>
        <v>0</v>
      </c>
      <c r="BO54" s="601">
        <f t="shared" ref="BO54:BX54" si="255">IF(BO16="orlov",BO46*BO14+BO53+BO51+BO49-IF(BO21="nej",BO46/3*BO14),(BO48*BO14)+BO53+BO51+BO49)</f>
        <v>0</v>
      </c>
      <c r="BP54" s="601">
        <f t="shared" si="255"/>
        <v>0</v>
      </c>
      <c r="BQ54" s="601">
        <f t="shared" si="255"/>
        <v>0</v>
      </c>
      <c r="BR54" s="601">
        <f t="shared" si="255"/>
        <v>0</v>
      </c>
      <c r="BS54" s="601">
        <f t="shared" si="255"/>
        <v>0</v>
      </c>
      <c r="BT54" s="601">
        <f t="shared" si="255"/>
        <v>0</v>
      </c>
      <c r="BU54" s="601">
        <f t="shared" si="255"/>
        <v>0</v>
      </c>
      <c r="BV54" s="601">
        <f t="shared" si="255"/>
        <v>0</v>
      </c>
      <c r="BW54" s="601">
        <f t="shared" si="255"/>
        <v>0</v>
      </c>
      <c r="BX54" s="601">
        <f t="shared" si="255"/>
        <v>0</v>
      </c>
      <c r="BY54" s="601">
        <f>IF(BY16="orlov",BY46*BY14+BY53,BY48*BY14+BY53)</f>
        <v>0</v>
      </c>
      <c r="BZ54" s="601">
        <f>IF(BZ16="orlov",BZ46*BZ14+#REF!+BZ53,BZ48*BZ14+BZ53)</f>
        <v>0</v>
      </c>
      <c r="CA54" s="601">
        <f t="shared" ref="CA54:CH54" si="256">IF(CA16="orlov",CA46*CA14+CA53+CA51+CA49-IF(CA21="nej",CA46/3*CA14),(CA48*CA14)+CA53+CA51+CA49)</f>
        <v>0</v>
      </c>
      <c r="CB54" s="601">
        <f t="shared" si="256"/>
        <v>0</v>
      </c>
      <c r="CC54" s="601">
        <f t="shared" si="256"/>
        <v>0</v>
      </c>
      <c r="CD54" s="601">
        <f t="shared" si="256"/>
        <v>0</v>
      </c>
      <c r="CE54" s="601">
        <f t="shared" si="256"/>
        <v>0</v>
      </c>
      <c r="CF54" s="601">
        <f t="shared" si="256"/>
        <v>0</v>
      </c>
      <c r="CG54" s="601">
        <f t="shared" si="256"/>
        <v>0</v>
      </c>
      <c r="CH54" s="601">
        <f t="shared" si="256"/>
        <v>0</v>
      </c>
      <c r="CI54" s="601">
        <f>IF(CI16="orlov",CI46*CI14+CI53,CI48*CI14+CI53)</f>
        <v>0</v>
      </c>
      <c r="CJ54" s="601">
        <f>IF(CJ16="orlov",CJ46*CJ14+CJ53,CJ48*CJ14+CJ53)</f>
        <v>0</v>
      </c>
      <c r="CK54" s="601">
        <f t="shared" ref="CK54:CU54" si="257">IF(CK16="orlov",CK46*CK14+CK53+CK51+CK49-IF(CK21="nej",CK46/3*CK14),(CK48*CK14)+CK53+CK51+CK49)</f>
        <v>0</v>
      </c>
      <c r="CL54" s="601">
        <f t="shared" si="257"/>
        <v>0</v>
      </c>
      <c r="CM54" s="601">
        <f t="shared" si="257"/>
        <v>0</v>
      </c>
      <c r="CN54" s="601">
        <f t="shared" si="257"/>
        <v>0</v>
      </c>
      <c r="CO54" s="601">
        <f t="shared" si="257"/>
        <v>0</v>
      </c>
      <c r="CP54" s="601">
        <f t="shared" si="257"/>
        <v>0</v>
      </c>
      <c r="CQ54" s="601">
        <f t="shared" si="257"/>
        <v>0</v>
      </c>
      <c r="CR54" s="601">
        <f t="shared" si="257"/>
        <v>0</v>
      </c>
      <c r="CS54" s="601">
        <f t="shared" si="257"/>
        <v>0</v>
      </c>
      <c r="CT54" s="601">
        <f t="shared" si="257"/>
        <v>0</v>
      </c>
      <c r="CU54" s="601">
        <f t="shared" si="257"/>
        <v>0</v>
      </c>
      <c r="CV54" s="601">
        <f>IF(CV16="orlov",CV46*CV14+CV53,CV48*CV14+CV53)</f>
        <v>0</v>
      </c>
      <c r="CW54" s="601">
        <f>IF(CW16="orlov",CW46*CW14+CW53,CW48*CW14+CW53)</f>
        <v>0</v>
      </c>
      <c r="CX54" s="601">
        <f>IF(CX16="orlov",CX46*CX14+CX53+CX51+CX49-IF(CX21="nej",CX46/3*CX14),(CX48*CX14)+CX53+CX51+CX49)</f>
        <v>0</v>
      </c>
      <c r="CY54" s="601">
        <f>IF(CY16="orlov",CY46*CY14+CY53+CY51+CY49-IF(CY21="nej",CY46/3*CY14),(CY48*CY14)+CY53+CY51+CY49)</f>
        <v>0</v>
      </c>
      <c r="CZ54" s="601">
        <f>IF(CZ16="orlov",CZ46*CZ14+CZ53+CZ51+CZ49-IF(CZ21="nej",CZ46/3*CZ14),(CZ48*CZ14)+CZ53+CZ51+CZ49)</f>
        <v>0</v>
      </c>
      <c r="DA54" s="601">
        <f>IF(DA16="orlov",DA46*DA14+DA53+DA51+DA49-IF(DA21="nej",DA46/3*DA14),(DA48*DA14)+DA53+DA51+DA49)</f>
        <v>0</v>
      </c>
      <c r="DB54" s="601">
        <f>IF(DB16="orlov",DB46*DB14+DB53+DB51+DB49-IF(DB21="nej",DB46/3*DB14),(DB48*DB14)+DB53+DB51+DB49)</f>
        <v>0</v>
      </c>
      <c r="DC54" s="601">
        <f>IF(DC16="orlov",DC46*DC14+DC53,DC48*DC14+DC53)</f>
        <v>0</v>
      </c>
      <c r="DD54" s="601">
        <f>IF(DD16="orlov",DD46*DD14+DD53,DD48*DD14+DD53)</f>
        <v>0</v>
      </c>
    </row>
    <row r="55" spans="1:134" ht="25" customHeight="1" thickBot="1">
      <c r="A55" s="3121" t="str">
        <f>"Skolens lønudgifter anslået år  "&amp;budgetår+1</f>
        <v>Skolens lønudgifter anslået år  2027</v>
      </c>
      <c r="B55" s="3121"/>
      <c r="C55" s="601">
        <f>IF(AND(C15&gt;0,C16="ORLOV"),(C54*(Lønfremskivning+1)),(((C48)*'Lon pæd., TAP mm'!C15)+IF(C15&gt;0,+C53+C49+C58+C51))*(Lønfremskivning+1))</f>
        <v>0</v>
      </c>
      <c r="D55" s="601">
        <f>IF(AND(D15&gt;0,D16="ORLOV"),(D54*(Lønfremskivning+1)),(((D48)*'Lon pæd., TAP mm'!D15)+IF(D15&gt;0,+D53+D49+D58+D51))*(Lønfremskivning+1))</f>
        <v>0</v>
      </c>
      <c r="E55" s="601">
        <f>IF(AND(E15&gt;0,E16="ORLOV"),(E54*(Lønfremskivning+1)),(((E48)*'Lon pæd., TAP mm'!E15)+IF(E15&gt;0,+E53+E49+E58+E51))*(Lønfremskivning+1))</f>
        <v>0</v>
      </c>
      <c r="F55" s="601">
        <f>IF(AND(F15&gt;0,F16="ORLOV"),(F54*(Lønfremskivning+1)),(((F48)*'Lon pæd., TAP mm'!F15)+IF(F15&gt;0,+F53+F49+F58+F51))*(Lønfremskivning+1))</f>
        <v>0</v>
      </c>
      <c r="G55" s="601">
        <f>IF(AND(G15&gt;0,G16="ORLOV"),(G54*(Lønfremskivning+1)),(((G48)*'Lon pæd., TAP mm'!G15)+IF(G15&gt;0,+G53+G49+G58+G51))*(Lønfremskivning+1))</f>
        <v>0</v>
      </c>
      <c r="H55" s="601">
        <f>IF(AND(H15&gt;0,H16="ORLOV"),(H54*(Lønfremskivning+1)),(((H48)*'Lon pæd., TAP mm'!H15)+IF(H15&gt;0,+H53+H49+H58+H51))*(Lønfremskivning+1))</f>
        <v>0</v>
      </c>
      <c r="I55" s="601">
        <f>IF(AND(I15&gt;0,I16="ORLOV"),(I54*(Lønfremskivning+1)),(((I48)*'Lon pæd., TAP mm'!I15)+IF(I15&gt;0,+I53+I49+I58+I51))*(Lønfremskivning+1))</f>
        <v>0</v>
      </c>
      <c r="J55" s="601">
        <f>IF(AND(J15&gt;0,J16="ORLOV"),(J54*(Lønfremskivning+1)),(((J48)*'Lon pæd., TAP mm'!J15)+IF(J15&gt;0,+J53+J49+J58+J51))*(Lønfremskivning+1))</f>
        <v>0</v>
      </c>
      <c r="K55" s="601">
        <f>IF(AND(K15&gt;0,K16="ORLOV"),(K54*(Lønfremskivning+1)),(((K48)*'Lon pæd., TAP mm'!K15)+IF(K15&gt;0,+K53+K49+K58+K51))*(Lønfremskivning+1))</f>
        <v>0</v>
      </c>
      <c r="L55" s="601">
        <f>IF(AND(L15&gt;0,L16="ORLOV"),(L54*(Lønfremskivning+1)),(((L48)*'Lon pæd., TAP mm'!L15)+IF(L15&gt;0,+L53+L49+L58+L51))*(Lønfremskivning+1))</f>
        <v>0</v>
      </c>
      <c r="M55" s="601">
        <f>IF(AND(M15&gt;0,M16="ORLOV"),(M54*(Lønfremskivning+1)),(((M48)*'Lon pæd., TAP mm'!M15)+IF(M15&gt;0,+M53+M49+M58+M51))*(Lønfremskivning+1))</f>
        <v>0</v>
      </c>
      <c r="N55" s="601">
        <f>IF(AND(N15&gt;0,N16="ORLOV"),(N54*(Lønfremskivning+1)),(((N48)*'Lon pæd., TAP mm'!N15)+IF(N15&gt;0,+N53+N49+N58+N51))*(Lønfremskivning+1))</f>
        <v>0</v>
      </c>
      <c r="O55" s="601">
        <f>IF(AND(O15&gt;0,O16="ORLOV"),(O54*(Lønfremskivning+1)),(((O48)*'Lon pæd., TAP mm'!O15)+IF(O15&gt;0,+O53+O49+O58+O51))*(Lønfremskivning+1))</f>
        <v>0</v>
      </c>
      <c r="P55" s="601">
        <f>IF(AND(P15&gt;0,P16="ORLOV"),(P54*(Lønfremskivning+1)),(((P48)*'Lon pæd., TAP mm'!P15)+IF(P15&gt;0,+P53+P49+P58+P51))*(Lønfremskivning+1))</f>
        <v>0</v>
      </c>
      <c r="Q55" s="601">
        <f>IF(AND(Q15&gt;0,Q16="ORLOV"),(Q54*(Lønfremskivning+1)),(((Q48)*'Lon pæd., TAP mm'!Q15)+IF(Q15&gt;0,+Q53+Q49+Q58+Q51))*(Lønfremskivning+1))</f>
        <v>0</v>
      </c>
      <c r="R55" s="601">
        <f>IF(AND(R15&gt;0,R16="ORLOV"),(R54*(Lønfremskivning+1)),(((R48)*'Lon pæd., TAP mm'!R15)+IF(R15&gt;0,+R53+R49+R58+R51))*(Lønfremskivning+1))</f>
        <v>0</v>
      </c>
      <c r="S55" s="601">
        <f>IF(AND(S15&gt;0,S16="ORLOV"),(S54*(Lønfremskivning+1)),(((S48)*'Lon pæd., TAP mm'!S15)+IF(S15&gt;0,+S53+S49+S58+S51))*(Lønfremskivning+1))</f>
        <v>0</v>
      </c>
      <c r="T55" s="601">
        <f>IF(AND(T15&gt;0,T16="ORLOV"),(T54*(Lønfremskivning+1)),(((T48)*'Lon pæd., TAP mm'!T15)+IF(T15&gt;0,+T53+T49+T58+T51))*(Lønfremskivning+1))</f>
        <v>0</v>
      </c>
      <c r="U55" s="601">
        <f>IF(AND(U15&gt;0,U16="ORLOV"),(U54*(Lønfremskivning+1)),(((U48)*'Lon pæd., TAP mm'!U15)+IF(U15&gt;0,+U53+U49+U58+U51))*(Lønfremskivning+1))</f>
        <v>0</v>
      </c>
      <c r="V55" s="601">
        <f>IF(AND(V15&gt;0,V16="ORLOV"),V46*V15*(Lønfremskivning+1),(V48*'Lon pæd., TAP mm'!V15+V53)*(Lønfremskivning+1))</f>
        <v>0</v>
      </c>
      <c r="W55" s="601">
        <f>IF(AND(W15&gt;0,W16="ORLOV"),W46*W15*(Lønfremskivning+1),(W48*'Lon pæd., TAP mm'!W15+W53)*(Lønfremskivning+1))</f>
        <v>0</v>
      </c>
      <c r="X55" s="601">
        <f>IF(AND(X15&gt;0,X16="ORLOV"),(X54*(Lønfremskivning+1)),(((X48)*'Lon pæd., TAP mm'!X15)+IF(X15&gt;0,+X53+X49+X58+X51))*(Lønfremskivning+1))</f>
        <v>0</v>
      </c>
      <c r="Y55" s="601">
        <f>IF(AND(Y15&gt;0,Y16="ORLOV"),(Y54*(Lønfremskivning+1)),(((Y48)*'Lon pæd., TAP mm'!Y15)+IF(Y15&gt;0,+Y53+Y49+Y58+Y51))*(Lønfremskivning+1))</f>
        <v>0</v>
      </c>
      <c r="Z55" s="601">
        <f>IF(AND(Z15&gt;0,Z16="ORLOV"),(Z54*(Lønfremskivning+1)),(((Z48)*'Lon pæd., TAP mm'!Z15)+IF(Z15&gt;0,+Z53+Z49+Z58+Z51))*(Lønfremskivning+1))</f>
        <v>0</v>
      </c>
      <c r="AA55" s="601">
        <f>IF(AND(AA15&gt;0,AA16="ORLOV"),(AA54*(Lønfremskivning+1)),(((AA48)*'Lon pæd., TAP mm'!AA15)+IF(AA15&gt;0,+AA53+AA49+AA58+AA51))*(Lønfremskivning+1))</f>
        <v>0</v>
      </c>
      <c r="AB55" s="601">
        <f>IF(AND(AB15&gt;0,AB16="ORLOV"),(AB54*(Lønfremskivning+1)),(((AB48)*'Lon pæd., TAP mm'!AB15)+IF(AB15&gt;0,+AB53+AB49+AB58+AB51))*(Lønfremskivning+1))</f>
        <v>0</v>
      </c>
      <c r="AC55" s="601">
        <f>IF(AND(AC15&gt;0,AC16="ORLOV"),(AC54*(Lønfremskivning+1)),(((AC48)*'Lon pæd., TAP mm'!AC15)+IF(AC15&gt;0,+AC53+AC49+AC58+AC51))*(Lønfremskivning+1))</f>
        <v>0</v>
      </c>
      <c r="AD55" s="601">
        <f>IF(AND(AD15&gt;0,AD16="ORLOV"),(AD54*(Lønfremskivning+1)),(((AD48)*'Lon pæd., TAP mm'!AD15)+IF(AD15&gt;0,+AD53+AD49+AD58+AD51))*(Lønfremskivning+1))</f>
        <v>0</v>
      </c>
      <c r="AE55" s="601">
        <f>IF(AND(AE15&gt;0,AE16="ORLOV"),(AE54*(Lønfremskivning+1)),(((AE48)*'Lon pæd., TAP mm'!AE15)+IF(AE15&gt;0,+AE53+AE49+AE58+AE51))*(Lønfremskivning+1))</f>
        <v>0</v>
      </c>
      <c r="AF55" s="601">
        <f>IF(AND(AF15&gt;0,AF16="ORLOV"),(AF54*(Lønfremskivning+1)),(((AF48)*'Lon pæd., TAP mm'!AF15)+IF(AF15&gt;0,+AF53+AF49+AF58+AF51))*(Lønfremskivning+1))</f>
        <v>0</v>
      </c>
      <c r="AG55" s="601">
        <f>IF(AND(AG15&gt;0,AG16="ORLOV"),(AG54*(Lønfremskivning+1)),(((AG48)*'Lon pæd., TAP mm'!AG15)+IF(AG15&gt;0,+AG53+AG49+AG58+AG51))*(Lønfremskivning+1))</f>
        <v>0</v>
      </c>
      <c r="AH55" s="601">
        <f>IF(AND(AH15&gt;0,AH16="ORLOV"),(AH54*(Lønfremskivning+1)),(((AH48)*'Lon pæd., TAP mm'!AH15)+IF(AH15&gt;0,+AH53+AH49+AH58+AH51))*(Lønfremskivning+1))</f>
        <v>0</v>
      </c>
      <c r="AI55" s="601">
        <f>IF(AND(AI15&gt;0,AI16="ORLOV"),(AI54*(Lønfremskivning+1)),(((AI48)*'Lon pæd., TAP mm'!AI15)+IF(AI15&gt;0,+AI53+AI49+AI58+AI51))*(Lønfremskivning+1))</f>
        <v>0</v>
      </c>
      <c r="AJ55" s="601">
        <f>IF(AND(AJ15&gt;0,AJ16="ORLOV"),(AJ54*(Lønfremskivning+1)),(((AJ48)*'Lon pæd., TAP mm'!AJ15)+IF(AJ15&gt;0,+AJ53+AJ49+AJ58+AJ51))*(Lønfremskivning+1))</f>
        <v>0</v>
      </c>
      <c r="AK55" s="601">
        <f>IF(AND(AK15&gt;0,AK16="ORLOV"),(AK54*(Lønfremskivning+1)),(((AK48)*'Lon pæd., TAP mm'!AK15)+IF(AK15&gt;0,+AK53+AK49+AK58+AK51))*(Lønfremskivning+1))</f>
        <v>0</v>
      </c>
      <c r="AL55" s="601">
        <f>IF(AND(AL15&gt;0,AL16="ORLOV"),(AL54*(Lønfremskivning+1)),(((AL48)*'Lon pæd., TAP mm'!AL15)+IF(AL15&gt;0,+AL53+AL49+AL58+AL51))*(Lønfremskivning+1))</f>
        <v>0</v>
      </c>
      <c r="AM55" s="601">
        <f>IF(AND(AM15&gt;0,AM16="ORLOV"),(AM54*(Lønfremskivning+1)),(((AM48)*'Lon pæd., TAP mm'!AM15)+IF(AM15&gt;0,+AM53+AM49+AM58+AM51))*(Lønfremskivning+1))</f>
        <v>0</v>
      </c>
      <c r="AN55" s="601">
        <f>IF(AND(AN15&gt;0,AN16="ORLOV"),(AN54*(Lønfremskivning+1)),(((AN48)*'Lon pæd., TAP mm'!AN15)+IF(AN15&gt;0,+AN53+AN49+AN58+AN51))*(Lønfremskivning+1))</f>
        <v>0</v>
      </c>
      <c r="AO55" s="601">
        <f>IF(AND(AO15&gt;0,AO16="ORLOV"),(AO54*(Lønfremskivning+1)),(((AO48)*'Lon pæd., TAP mm'!AO15)+IF(AO15&gt;0,+AO53+AO49+AO58+AO51))*(Lønfremskivning+1))</f>
        <v>0</v>
      </c>
      <c r="AP55" s="601">
        <f>IF(AND(AP15&gt;0,AP16="ORLOV"),(AP54*(Lønfremskivning+1)),(((AP48)*'Lon pæd., TAP mm'!AP15)+IF(AP15&gt;0,+AP53+AP49+AP58+AP51))*(Lønfremskivning+1))</f>
        <v>0</v>
      </c>
      <c r="AQ55" s="601">
        <f>IF(AND(AQ15&gt;0,AQ16="ORLOV"),(AQ54*(Lønfremskivning+1)),(((AQ48)*'Lon pæd., TAP mm'!AQ15)+IF(AQ15&gt;0,+AQ53+AQ49+AQ58+AQ51))*(Lønfremskivning+1))</f>
        <v>0</v>
      </c>
      <c r="AR55" s="601">
        <f t="shared" ref="AR55:AY55" si="258">IF(AND(AR15&gt;0,AR16="ORLOV"),(AR54*(Lønfremskivning+1)),(((AR48)*AR15)+IF(AR15&gt;0,+AR53+AR49+AR58+AR51))*(Lønfremskivning+1))</f>
        <v>0</v>
      </c>
      <c r="AS55" s="601">
        <f t="shared" si="258"/>
        <v>0</v>
      </c>
      <c r="AT55" s="601">
        <f t="shared" si="258"/>
        <v>0</v>
      </c>
      <c r="AU55" s="601">
        <f t="shared" si="258"/>
        <v>0</v>
      </c>
      <c r="AV55" s="601">
        <f t="shared" si="258"/>
        <v>0</v>
      </c>
      <c r="AW55" s="601">
        <f t="shared" si="258"/>
        <v>0</v>
      </c>
      <c r="AX55" s="601">
        <f t="shared" si="258"/>
        <v>0</v>
      </c>
      <c r="AY55" s="601">
        <f t="shared" si="258"/>
        <v>0</v>
      </c>
      <c r="AZ55" s="601">
        <f>IF(AND(AZ15&gt;0,AZ16="ORLOV"),AZ46*AZ15*(Lønfremskivning+1),(AZ48*'Lon pæd., TAP mm'!AZ15+AZ53)*(Lønfremskivning+1))</f>
        <v>0</v>
      </c>
      <c r="BA55" s="601">
        <f>IF(AND(BA15&gt;0,BA16="ORLOV"),BA46*BA15*(Lønfremskivning+1),(BA48*'Lon pæd., TAP mm'!BA15+BA53)*(Lønfremskivning+1))</f>
        <v>0</v>
      </c>
      <c r="BB55" s="601">
        <f>IF(AND(BB15&gt;0,BB16="ORLOV"),(BB54*(Lønfremskivning+1)),(((BB48)*'Lon pæd., TAP mm'!BB15)+IF(BB15&gt;0,+BB53+BB49+BB58+BB51))*(Lønfremskivning+1))</f>
        <v>0</v>
      </c>
      <c r="BC55" s="601">
        <f>IF(AND(BC15&gt;0,BC16="ORLOV"),(BC54*(Lønfremskivning+1)),(((BC48)*'Lon pæd., TAP mm'!BC15)+IF(BC15&gt;0,+BC53+BC49+BC58+BC51))*(Lønfremskivning+1))</f>
        <v>0</v>
      </c>
      <c r="BD55" s="601">
        <f>IF(AND(BD15&gt;0,BD16="ORLOV"),(BD54*(Lønfremskivning+1)),(((BD48)*'Lon pæd., TAP mm'!BD15)+IF(BD15&gt;0,+BD53+BD49+BD58+BD51))*(Lønfremskivning+1))</f>
        <v>0</v>
      </c>
      <c r="BE55" s="601">
        <f>IF(AND(BE15&gt;0,BE16="ORLOV"),(BE54*(Lønfremskivning+1)),(((BE48)*'Lon pæd., TAP mm'!BE15)+IF(BE15&gt;0,+BE53+BE49+BE58+BE51))*(Lønfremskivning+1))</f>
        <v>0</v>
      </c>
      <c r="BF55" s="601">
        <f>IF(AND(BF15&gt;0,BF16="ORLOV"),(BF54*(Lønfremskivning+1)),(((BF48)*'Lon pæd., TAP mm'!BF15)+IF(BF15&gt;0,+BF53+BF49+BF58+BF51))*(Lønfremskivning+1))</f>
        <v>0</v>
      </c>
      <c r="BG55" s="601">
        <f>IF(AND(BG15&gt;0,BG16="ORLOV"),(BG54*(Lønfremskivning+1)),(((BG48)*'Lon pæd., TAP mm'!BG15)+IF(BG15&gt;0,+BG53+BG49+BG58+BG51))*(Lønfremskivning+1))</f>
        <v>0</v>
      </c>
      <c r="BH55" s="601">
        <f>IF(AND(BH15&gt;0,BH16="ORLOV"),(BH54*(Lønfremskivning+1)),(((BH48)*'Lon pæd., TAP mm'!BH15)+IF(BH15&gt;0,+BH53+BH49+BH58+BH51))*(Lønfremskivning+1))</f>
        <v>0</v>
      </c>
      <c r="BI55" s="601">
        <f>IF(AND(BI15&gt;0,BI16="ORLOV"),(BI54*(Lønfremskivning+1)),(((BI48)*'Lon pæd., TAP mm'!BI15)+IF(BI15&gt;0,+BI53+BI49+BI58+BI51))*(Lønfremskivning+1))</f>
        <v>0</v>
      </c>
      <c r="BJ55" s="601">
        <f>IF(AND(BJ15&gt;0,BJ16="ORLOV"),(BJ54*(Lønfremskivning+1)),(((BJ48)*'Lon pæd., TAP mm'!BJ15)+IF(BJ15&gt;0,+BJ53+BJ49+BJ58+BJ51))*(Lønfremskivning+1))</f>
        <v>0</v>
      </c>
      <c r="BK55" s="601">
        <f>IF(AND(BK15&gt;0,BK16="ORLOV"),(BK54*(Lønfremskivning+1)),(((BK48)*'Lon pæd., TAP mm'!BK15)+IF(BK15&gt;0,+BK53+BK49+BK58+BK51))*(Lønfremskivning+1))</f>
        <v>0</v>
      </c>
      <c r="BL55" s="601">
        <f>IF(AND(BL15&gt;0,BL16="ORLOV"),(BL54*(Lønfremskivning+1)),(((BL48)*'Lon pæd., TAP mm'!BL15)+IF(BL15&gt;0,+BL53+BL49+BL58+BL51))*(Lønfremskivning+1))</f>
        <v>0</v>
      </c>
      <c r="BM55" s="601">
        <f>IF(AND(BM15&gt;0,BM16="ORLOV"),BM46*BM15*(Lønfremskivning+1),(BM48*'Lon pæd., TAP mm'!BM15+BM53)*(Lønfremskivning+1))</f>
        <v>0</v>
      </c>
      <c r="BN55" s="601">
        <f>IF(AND(BN15&gt;0,BN16="ORLOV"),BN46*BN15*(Lønfremskivning+1),(BN48*'Lon pæd., TAP mm'!BN15+BN53)*(Lønfremskivning+1))</f>
        <v>0</v>
      </c>
      <c r="BO55" s="601">
        <f>IF(AND(BO15&gt;0,BO16="ORLOV"),(BO54*(Lønfremskivning+1)),(((BO48)*'Lon pæd., TAP mm'!BO15)+IF(BO15&gt;0,+BO53+BO49+BO58+BO51))*(Lønfremskivning+1))</f>
        <v>0</v>
      </c>
      <c r="BP55" s="601">
        <f>IF(AND(BP15&gt;0,BP16="ORLOV"),(BP54*(Lønfremskivning+1)),(((BP48)*'Lon pæd., TAP mm'!BP15)+IF(BP15&gt;0,+BP53+BP49+BP58+BP51))*(Lønfremskivning+1))</f>
        <v>0</v>
      </c>
      <c r="BQ55" s="601">
        <f>IF(AND(BQ15&gt;0,BQ16="ORLOV"),(BQ54*(Lønfremskivning+1)),(((BQ48)*'Lon pæd., TAP mm'!BQ15)+IF(BQ15&gt;0,+BQ53+BQ49+BQ58+BQ51))*(Lønfremskivning+1))</f>
        <v>0</v>
      </c>
      <c r="BR55" s="601">
        <f>IF(AND(BR15&gt;0,BR16="ORLOV"),(BR54*(Lønfremskivning+1)),(((BR48)*'Lon pæd., TAP mm'!BR15)+IF(BR15&gt;0,+BR53+BR49+BR58+BR51))*(Lønfremskivning+1))</f>
        <v>0</v>
      </c>
      <c r="BS55" s="601">
        <f>IF(AND(BS15&gt;0,BS16="ORLOV"),(BS54*(Lønfremskivning+1)),(((BS48)*'Lon pæd., TAP mm'!BS15)+IF(BS15&gt;0,+BS53+BS49+BS58+BS51))*(Lønfremskivning+1))</f>
        <v>0</v>
      </c>
      <c r="BT55" s="601">
        <f>IF(AND(BT15&gt;0,BT16="ORLOV"),(BT54*(Lønfremskivning+1)),(((BT48)*'Lon pæd., TAP mm'!BT15)+IF(BT15&gt;0,+BT53+BT49+BT58+BT51))*(Lønfremskivning+1))</f>
        <v>0</v>
      </c>
      <c r="BU55" s="601">
        <f>IF(AND(BU15&gt;0,BU16="ORLOV"),(BU54*(Lønfremskivning+1)),(((BU48)*'Lon pæd., TAP mm'!BU15)+IF(BU15&gt;0,+BU53+BU49+BU58+BU51))*(Lønfremskivning+1))</f>
        <v>0</v>
      </c>
      <c r="BV55" s="601">
        <f>IF(AND(BV15&gt;0,BV16="ORLOV"),(BV54*(Lønfremskivning+1)),(((BV48)*'Lon pæd., TAP mm'!BV15)+IF(BV15&gt;0,+BV53+BV49+BV58+BV51))*(Lønfremskivning+1))</f>
        <v>0</v>
      </c>
      <c r="BW55" s="601">
        <f>IF(AND(BW15&gt;0,BW16="ORLOV"),(BW54*(Lønfremskivning+1)),(((BW48)*'Lon pæd., TAP mm'!BW15)+IF(BW15&gt;0,+BW53+BW49+BW58+BW51))*(Lønfremskivning+1))</f>
        <v>0</v>
      </c>
      <c r="BX55" s="601">
        <f>IF(AND(BX15&gt;0,BX16="ORLOV"),(BX54*(Lønfremskivning+1)),(((BX48)*'Lon pæd., TAP mm'!BX15)+IF(BX15&gt;0,+BX53+BX49+BX58+BX51))*(Lønfremskivning+1))</f>
        <v>0</v>
      </c>
      <c r="BY55" s="601">
        <f>IF(AND(BY15&gt;0,BY16="ORLOV"),BY46*BY15*(Lønfremskivning+1),(BY48*'Lon pæd., TAP mm'!BY15+BY53)*(Lønfremskivning+1))</f>
        <v>0</v>
      </c>
      <c r="BZ55" s="601">
        <f>IF(AND(BZ15&gt;0,BZ16="ORLOV"),BZ46*BZ15*(Lønfremskivning+1),(BZ48*'Lon pæd., TAP mm'!BZ15+BZ53)*(Lønfremskivning+1))</f>
        <v>0</v>
      </c>
      <c r="CA55" s="601">
        <f>IF(AND(CA15&gt;0,CA16="ORLOV"),(CA54*(Lønfremskivning+1)),(((CA48)*'Lon pæd., TAP mm'!CA15)+IF(CA15&gt;0,+CA53+CA49+CA58+CA51))*(Lønfremskivning+1))</f>
        <v>0</v>
      </c>
      <c r="CB55" s="601">
        <f>IF(AND(CB15&gt;0,CB16="ORLOV"),(CB54*(Lønfremskivning+1)),(((CB48)*'Lon pæd., TAP mm'!CB15)+IF(CB15&gt;0,+CB53+CB49+CB58+CB51))*(Lønfremskivning+1))</f>
        <v>0</v>
      </c>
      <c r="CC55" s="601">
        <f>IF(AND(CC15&gt;0,CC16="ORLOV"),(CC54*(Lønfremskivning+1)),(((CC48)*'Lon pæd., TAP mm'!CC15)+IF(CC15&gt;0,+CC53+CC49+CC58+CC51))*(Lønfremskivning+1))</f>
        <v>0</v>
      </c>
      <c r="CD55" s="601">
        <f>IF(AND(CD15&gt;0,CD16="ORLOV"),(CD54*(Lønfremskivning+1)),(((CD48)*'Lon pæd., TAP mm'!CD15)+IF(CD15&gt;0,+CD53+CD49+CD58+CD51))*(Lønfremskivning+1))</f>
        <v>0</v>
      </c>
      <c r="CE55" s="601">
        <f>IF(AND(CE15&gt;0,CE16="ORLOV"),(CE54*(Lønfremskivning+1)),(((CE48)*'Lon pæd., TAP mm'!CE15)+IF(CE15&gt;0,+CE53+CE49+CE58+CE51))*(Lønfremskivning+1))</f>
        <v>0</v>
      </c>
      <c r="CF55" s="601">
        <f>IF(AND(CF15&gt;0,CF16="ORLOV"),(CF54*(Lønfremskivning+1)),(((CF48)*'Lon pæd., TAP mm'!CF15)+IF(CF15&gt;0,+CF53+CF49+CF58+CF51))*(Lønfremskivning+1))</f>
        <v>0</v>
      </c>
      <c r="CG55" s="601">
        <f>IF(AND(CG15&gt;0,CG16="ORLOV"),(CG54*(Lønfremskivning+1)),(((CG48)*'Lon pæd., TAP mm'!CG15)+IF(CG15&gt;0,+CG53+CG49+CG58+CG51))*(Lønfremskivning+1))</f>
        <v>0</v>
      </c>
      <c r="CH55" s="601">
        <f>IF(AND(CH15&gt;0,CH16="ORLOV"),(CH54*(Lønfremskivning+1)),(((CH48)*'Lon pæd., TAP mm'!CH15)+IF(CH15&gt;0,+CH53+CH49+CH58+CH51))*(Lønfremskivning+1))</f>
        <v>0</v>
      </c>
      <c r="CI55" s="601">
        <f>IF(AND(CI15&gt;0,CI16="ORLOV"),CI46*CI15*(Lønfremskivning+1),(CI48*'Lon pæd., TAP mm'!CI15+CI53)*(Lønfremskivning+1))</f>
        <v>0</v>
      </c>
      <c r="CJ55" s="601">
        <f>IF(AND(CJ15&gt;0,CJ16="ORLOV"),CJ46*CJ15*(Lønfremskivning+1),(CJ48*'Lon pæd., TAP mm'!CJ15+CJ53)*(Lønfremskivning+1))</f>
        <v>0</v>
      </c>
      <c r="CK55" s="601">
        <f>IF(AND(CK15&gt;0,CK16="ORLOV"),(CK54*(Lønfremskivning+1)),(((CK48)*'Lon pæd., TAP mm'!CK15)+IF(CK15&gt;0,+CK53+CK49+CK58+CK51))*(Lønfremskivning+1))</f>
        <v>0</v>
      </c>
      <c r="CL55" s="601">
        <f>IF(AND(CL15&gt;0,CL16="ORLOV"),(CL54*(Lønfremskivning+1)),(((CL48)*'Lon pæd., TAP mm'!CL15)+IF(CL15&gt;0,+CL53+CL49+CL58+CL51))*(Lønfremskivning+1))</f>
        <v>0</v>
      </c>
      <c r="CM55" s="601">
        <f>IF(AND(CM15&gt;0,CM16="ORLOV"),(CM54*(Lønfremskivning+1)),(((CM48)*'Lon pæd., TAP mm'!CM15)+IF(CM15&gt;0,+CM53+CM49+CM58+CM51))*(Lønfremskivning+1))</f>
        <v>0</v>
      </c>
      <c r="CN55" s="601">
        <f>IF(AND(CN15&gt;0,CN16="ORLOV"),(CN54*(Lønfremskivning+1)),(((CN48)*'Lon pæd., TAP mm'!CN15)+IF(CN15&gt;0,+CN53+CN49+CN58+CN51))*(Lønfremskivning+1))</f>
        <v>0</v>
      </c>
      <c r="CO55" s="601">
        <f>IF(AND(CO15&gt;0,CO16="ORLOV"),(CO54*(Lønfremskivning+1)),(((CO48)*'Lon pæd., TAP mm'!CO15)+IF(CO15&gt;0,+CO53+CO49+CO58+CO51))*(Lønfremskivning+1))</f>
        <v>0</v>
      </c>
      <c r="CP55" s="601">
        <f>IF(AND(CP15&gt;0,CP16="ORLOV"),(CP54*(Lønfremskivning+1)),(((CP48)*'Lon pæd., TAP mm'!CP15)+IF(CP15&gt;0,+CP53+CP49+CP58+CP51))*(Lønfremskivning+1))</f>
        <v>0</v>
      </c>
      <c r="CQ55" s="601">
        <f>IF(AND(CQ15&gt;0,CQ16="ORLOV"),(CQ54*(Lønfremskivning+1)),(((CQ48)*'Lon pæd., TAP mm'!CQ15)+IF(CQ15&gt;0,+CQ53+CQ49+CQ58+CQ51))*(Lønfremskivning+1))</f>
        <v>0</v>
      </c>
      <c r="CR55" s="601">
        <f>IF(AND(CR15&gt;0,CR16="ORLOV"),(CR54*(Lønfremskivning+1)),(((CR48)*'Lon pæd., TAP mm'!CR15)+IF(CR15&gt;0,+CR53+CR49+CR58+CR51))*(Lønfremskivning+1))</f>
        <v>0</v>
      </c>
      <c r="CS55" s="601">
        <f>IF(AND(CS15&gt;0,CS16="ORLOV"),(CS54*(Lønfremskivning+1)),(((CS48)*'Lon pæd., TAP mm'!CS15)+IF(CS15&gt;0,+CS53+CS49+CS58+CS51))*(Lønfremskivning+1))</f>
        <v>0</v>
      </c>
      <c r="CT55" s="601">
        <f>IF(AND(CT15&gt;0,CT16="ORLOV"),(CT54*(Lønfremskivning+1)),(((CT48)*'Lon pæd., TAP mm'!CT15)+IF(CT15&gt;0,+CT53+CT49+CT58+CT51))*(Lønfremskivning+1))</f>
        <v>0</v>
      </c>
      <c r="CU55" s="601">
        <f>IF(AND(CU15&gt;0,CU16="ORLOV"),(CU54*(Lønfremskivning+1)),(((CU48)*'Lon pæd., TAP mm'!CU15)+IF(CU15&gt;0,+CU53+CU49+CU58+CU51))*(Lønfremskivning+1))</f>
        <v>0</v>
      </c>
      <c r="CV55" s="601">
        <f>IF(AND(CV15&gt;0,CV16="ORLOV"),CV46*CV15*(Lønfremskivning+1),(CV48*'Lon pæd., TAP mm'!CV15+CV53)*(Lønfremskivning+1))</f>
        <v>0</v>
      </c>
      <c r="CW55" s="601">
        <f>IF(AND(CW15&gt;0,CW16="ORLOV"),CW46*CW15*(Lønfremskivning+1),(CW48*'Lon pæd., TAP mm'!CW15+CW53)*(Lønfremskivning+1))</f>
        <v>0</v>
      </c>
      <c r="CX55" s="601">
        <f>IF(AND(CX15&gt;0,CX16="ORLOV"),(CX54*(Lønfremskivning+1)),(((CX48)*'Lon pæd., TAP mm'!CX15)+IF(CX15&gt;0,+CX53+CX49+CX58+CX51))*(Lønfremskivning+1))</f>
        <v>0</v>
      </c>
      <c r="CY55" s="601">
        <f>IF(AND(CY15&gt;0,CY16="ORLOV"),(CY54*(Lønfremskivning+1)),(((CY48)*'Lon pæd., TAP mm'!CY15)+IF(CY15&gt;0,+CY53+CY49+CY58+CY51))*(Lønfremskivning+1))</f>
        <v>0</v>
      </c>
      <c r="CZ55" s="601">
        <f>IF(AND(CZ15&gt;0,CZ16="ORLOV"),(CZ54*(Lønfremskivning+1)),(((CZ48)*'Lon pæd., TAP mm'!CZ15)+IF(CZ15&gt;0,+CZ53+CZ49+CZ58+CZ51))*(Lønfremskivning+1))</f>
        <v>0</v>
      </c>
      <c r="DA55" s="601">
        <f>IF(AND(DA15&gt;0,DA16="ORLOV"),(DA54*(Lønfremskivning+1)),(((DA48)*'Lon pæd., TAP mm'!DA15)+IF(DA15&gt;0,+DA53+DA49+DA58+DA51))*(Lønfremskivning+1))</f>
        <v>0</v>
      </c>
      <c r="DB55" s="601">
        <f>IF(AND(DB15&gt;0,DB16="ORLOV"),(DB54*(Lønfremskivning+1)),(((DB48)*'Lon pæd., TAP mm'!DB15)+IF(DB15&gt;0,+DB53+DB49+DB58+DB51))*(Lønfremskivning+1))</f>
        <v>0</v>
      </c>
      <c r="DC55" s="601">
        <f>IF(AND(DC15&gt;0,DC16="ORLOV"),DC46*DC15*(Lønfremskivning+1),(DC48*'Lon pæd., TAP mm'!DC15+DC53)*(Lønfremskivning+1))</f>
        <v>0</v>
      </c>
      <c r="DD55" s="601">
        <f>IF(AND(DD15&gt;0,DD16="ORLOV"),DD46*DD15*(Lønfremskivning+1),(DD48*'Lon pæd., TAP mm'!DD15+DD53)*(Lønfremskivning+1))</f>
        <v>0</v>
      </c>
    </row>
    <row r="56" spans="1:134" ht="25" customHeight="1">
      <c r="A56" s="3136"/>
      <c r="B56" s="3136"/>
      <c r="C56" s="538" t="str">
        <f>"SFO i alt året "&amp;budgetår</f>
        <v>SFO i alt året 2026</v>
      </c>
      <c r="D56" s="539"/>
      <c r="E56" s="539"/>
      <c r="F56" s="539"/>
      <c r="G56" s="539"/>
      <c r="H56" s="539"/>
      <c r="I56" s="539"/>
      <c r="J56" s="539"/>
      <c r="K56" s="539"/>
      <c r="L56" s="539"/>
      <c r="M56" s="539"/>
      <c r="N56" s="539"/>
      <c r="O56" s="539"/>
      <c r="P56" s="539"/>
      <c r="Q56" s="539"/>
      <c r="R56" s="539"/>
      <c r="S56" s="539"/>
      <c r="T56" s="539"/>
      <c r="U56" s="539"/>
      <c r="V56" s="539"/>
      <c r="W56" s="540">
        <f>SUM(C54:W54)</f>
        <v>0</v>
      </c>
      <c r="X56" s="539" t="str">
        <f>"Daginstitution i alt året "&amp;budgetår</f>
        <v>Daginstitution i alt året 2026</v>
      </c>
      <c r="Y56" s="539" t="str">
        <f>"Daginstitution i alt året "&amp;budgetår</f>
        <v>Daginstitution i alt året 2026</v>
      </c>
      <c r="Z56" s="539" t="str">
        <f>"Daginstitution i alt året "&amp;budgetår</f>
        <v>Daginstitution i alt året 2026</v>
      </c>
      <c r="AA56" s="539"/>
      <c r="AB56" s="539"/>
      <c r="AC56" s="539"/>
      <c r="AD56" s="539"/>
      <c r="AE56" s="539"/>
      <c r="AF56" s="539"/>
      <c r="AG56" s="539"/>
      <c r="AH56" s="539"/>
      <c r="AI56" s="539"/>
      <c r="AJ56" s="539"/>
      <c r="AK56" s="539"/>
      <c r="AL56" s="539"/>
      <c r="AM56" s="539"/>
      <c r="AN56" s="539"/>
      <c r="AO56" s="539"/>
      <c r="AP56" s="539"/>
      <c r="AQ56" s="539"/>
      <c r="AR56" s="539"/>
      <c r="AS56" s="539"/>
      <c r="AT56" s="539"/>
      <c r="AU56" s="539"/>
      <c r="AV56" s="539"/>
      <c r="AW56" s="539"/>
      <c r="AX56" s="539"/>
      <c r="AY56" s="539"/>
      <c r="AZ56" s="538"/>
      <c r="BA56" s="540">
        <f>SUM(X54:BA54)</f>
        <v>0</v>
      </c>
      <c r="BB56" s="3121" t="str">
        <f>"Heltidsskolefritidsordning i alt året "&amp;budgetår</f>
        <v>Heltidsskolefritidsordning i alt året 2026</v>
      </c>
      <c r="BC56" s="3121"/>
      <c r="BD56" s="3121"/>
      <c r="BE56" s="3121"/>
      <c r="BF56" s="3121"/>
      <c r="BG56" s="3121"/>
      <c r="BH56" s="3121"/>
      <c r="BI56" s="539"/>
      <c r="BJ56" s="539"/>
      <c r="BK56" s="539"/>
      <c r="BL56" s="539"/>
      <c r="BM56" s="539"/>
      <c r="BN56" s="540">
        <f>SUM(BB54:BN54)</f>
        <v>0</v>
      </c>
      <c r="BO56" s="3121" t="str">
        <f>"Pædagogisk personale i skolen i alt året "&amp;budgetår</f>
        <v>Pædagogisk personale i skolen i alt året 2026</v>
      </c>
      <c r="BP56" s="3121"/>
      <c r="BQ56" s="3121"/>
      <c r="BR56" s="3121"/>
      <c r="BS56" s="3121"/>
      <c r="BT56" s="3121"/>
      <c r="BU56" s="539"/>
      <c r="BV56" s="539"/>
      <c r="BW56" s="539"/>
      <c r="BX56" s="539"/>
      <c r="BY56" s="539"/>
      <c r="BZ56" s="540">
        <f>SUM(BO54:BZ54)</f>
        <v>0</v>
      </c>
      <c r="CA56" s="539" t="str">
        <f>"Adm personale i alt år "&amp;budgetår</f>
        <v>Adm personale i alt år 2026</v>
      </c>
      <c r="CB56" s="539"/>
      <c r="CC56" s="539"/>
      <c r="CD56" s="539"/>
      <c r="CE56" s="539"/>
      <c r="CF56" s="539"/>
      <c r="CG56" s="539"/>
      <c r="CH56" s="539"/>
      <c r="CI56" s="539"/>
      <c r="CJ56" s="540">
        <f>SUM(CA54:CJ54)</f>
        <v>0</v>
      </c>
      <c r="CK56" s="539" t="str">
        <f>"Pedel og Rengøring "&amp;budgetår</f>
        <v>Pedel og Rengøring 2026</v>
      </c>
      <c r="CL56" s="539"/>
      <c r="CM56" s="539"/>
      <c r="CN56" s="539"/>
      <c r="CO56" s="539"/>
      <c r="CP56" s="539"/>
      <c r="CQ56" s="539"/>
      <c r="CR56" s="539"/>
      <c r="CS56" s="539"/>
      <c r="CT56" s="539"/>
      <c r="CU56" s="539"/>
      <c r="CV56" s="539"/>
      <c r="CW56" s="540">
        <f>SUM(CK54:CW54)</f>
        <v>0</v>
      </c>
      <c r="CX56" s="539" t="str">
        <f>"Kostafdeling i alt "&amp;budgetår</f>
        <v>Kostafdeling i alt 2026</v>
      </c>
      <c r="CY56" s="539"/>
      <c r="CZ56" s="539"/>
      <c r="DA56" s="539"/>
      <c r="DB56" s="539"/>
      <c r="DC56" s="539"/>
      <c r="DD56" s="540">
        <f>SUM(CX54:DD54)</f>
        <v>0</v>
      </c>
      <c r="DJ56" s="673"/>
      <c r="DK56" s="673"/>
      <c r="DL56" s="673"/>
      <c r="DM56" s="673"/>
      <c r="DN56" s="673"/>
      <c r="DO56" s="673"/>
      <c r="DS56" s="673"/>
      <c r="DT56" s="673"/>
      <c r="DU56" s="673"/>
      <c r="DV56" s="673"/>
      <c r="DW56" s="673"/>
      <c r="DX56" s="673"/>
      <c r="DY56" s="673"/>
      <c r="DZ56" s="673"/>
      <c r="EA56" s="673"/>
    </row>
    <row r="57" spans="1:134" ht="22.5" customHeight="1">
      <c r="A57" s="3136"/>
      <c r="B57" s="3136"/>
      <c r="C57" s="538" t="str">
        <f>"SFO i alt året "&amp;budgetår+1</f>
        <v>SFO i alt året 2027</v>
      </c>
      <c r="D57" s="539"/>
      <c r="E57" s="539"/>
      <c r="F57" s="539"/>
      <c r="G57" s="539"/>
      <c r="H57" s="539"/>
      <c r="I57" s="539"/>
      <c r="J57" s="539"/>
      <c r="K57" s="539"/>
      <c r="L57" s="539"/>
      <c r="M57" s="539"/>
      <c r="N57" s="539"/>
      <c r="O57" s="539"/>
      <c r="P57" s="539"/>
      <c r="Q57" s="539"/>
      <c r="R57" s="539"/>
      <c r="S57" s="539"/>
      <c r="T57" s="539"/>
      <c r="U57" s="539"/>
      <c r="V57" s="539"/>
      <c r="W57" s="541">
        <f>SUM(C55:W55)</f>
        <v>0</v>
      </c>
      <c r="X57" s="539" t="str">
        <f>"Daginstitution i alt året "&amp;budgetår+1</f>
        <v>Daginstitution i alt året 2027</v>
      </c>
      <c r="Y57" s="539" t="str">
        <f>"Daginstitution i alt året "&amp;budgetår+1</f>
        <v>Daginstitution i alt året 2027</v>
      </c>
      <c r="Z57" s="539" t="str">
        <f>"Daginstitution i alt året "&amp;budgetår+1</f>
        <v>Daginstitution i alt året 2027</v>
      </c>
      <c r="AA57" s="539"/>
      <c r="AB57" s="539"/>
      <c r="AC57" s="539"/>
      <c r="AD57" s="539"/>
      <c r="AE57" s="539"/>
      <c r="AF57" s="539"/>
      <c r="AG57" s="539"/>
      <c r="AH57" s="539"/>
      <c r="AI57" s="539"/>
      <c r="AJ57" s="539"/>
      <c r="AK57" s="539"/>
      <c r="AL57" s="539"/>
      <c r="AM57" s="539"/>
      <c r="AN57" s="539"/>
      <c r="AO57" s="539"/>
      <c r="AP57" s="539"/>
      <c r="AQ57" s="539"/>
      <c r="AR57" s="539"/>
      <c r="AS57" s="539"/>
      <c r="AT57" s="539"/>
      <c r="AU57" s="539"/>
      <c r="AV57" s="539"/>
      <c r="AW57" s="539"/>
      <c r="AX57" s="539"/>
      <c r="AY57" s="539"/>
      <c r="AZ57" s="538"/>
      <c r="BA57" s="541">
        <f>SUM(X55:BA55)</f>
        <v>0</v>
      </c>
      <c r="BB57" s="3122" t="str">
        <f>"Heltidsskolefritidsordning i alt året "&amp;budgetår+1</f>
        <v>Heltidsskolefritidsordning i alt året 2027</v>
      </c>
      <c r="BC57" s="3122"/>
      <c r="BD57" s="3122"/>
      <c r="BE57" s="3122"/>
      <c r="BF57" s="3122"/>
      <c r="BG57" s="3122"/>
      <c r="BH57" s="3122"/>
      <c r="BI57" s="539"/>
      <c r="BJ57" s="539"/>
      <c r="BK57" s="539"/>
      <c r="BL57" s="539"/>
      <c r="BM57" s="539"/>
      <c r="BN57" s="541">
        <f>SUM(BB55:BN55)</f>
        <v>0</v>
      </c>
      <c r="BO57" s="3122" t="str">
        <f>"Pædagogisk personele i skolen i alt året "&amp;budgetår+1</f>
        <v>Pædagogisk personele i skolen i alt året 2027</v>
      </c>
      <c r="BP57" s="3122"/>
      <c r="BQ57" s="3122"/>
      <c r="BR57" s="3122"/>
      <c r="BS57" s="3122"/>
      <c r="BT57" s="3122"/>
      <c r="BU57" s="539"/>
      <c r="BV57" s="539"/>
      <c r="BW57" s="539"/>
      <c r="BX57" s="539"/>
      <c r="BY57" s="539"/>
      <c r="BZ57" s="541">
        <f>SUM(BO55:BZ55)</f>
        <v>0</v>
      </c>
      <c r="CA57" s="539" t="str">
        <f>"Adm personale i alt år "&amp;budgetår+1</f>
        <v>Adm personale i alt år 2027</v>
      </c>
      <c r="CB57" s="539"/>
      <c r="CC57" s="539"/>
      <c r="CD57" s="539"/>
      <c r="CE57" s="539"/>
      <c r="CF57" s="539"/>
      <c r="CG57" s="539"/>
      <c r="CH57" s="539"/>
      <c r="CI57" s="539"/>
      <c r="CJ57" s="541">
        <f>SUM(CA55:CJ55)</f>
        <v>0</v>
      </c>
      <c r="CK57" s="539" t="str">
        <f>"Pedel og Rengøring "&amp;budgetår+1</f>
        <v>Pedel og Rengøring 2027</v>
      </c>
      <c r="CL57" s="539"/>
      <c r="CM57" s="539"/>
      <c r="CN57" s="539"/>
      <c r="CO57" s="539"/>
      <c r="CP57" s="539"/>
      <c r="CQ57" s="539"/>
      <c r="CR57" s="539"/>
      <c r="CS57" s="539"/>
      <c r="CT57" s="539"/>
      <c r="CU57" s="539"/>
      <c r="CV57" s="539"/>
      <c r="CW57" s="541">
        <f>SUM(CK55:CW55)</f>
        <v>0</v>
      </c>
      <c r="CX57" s="539" t="str">
        <f>"Kostafdeling i alt "&amp;budgetår+1</f>
        <v>Kostafdeling i alt 2027</v>
      </c>
      <c r="CY57" s="539"/>
      <c r="CZ57" s="539"/>
      <c r="DA57" s="539"/>
      <c r="DB57" s="539"/>
      <c r="DC57" s="539"/>
      <c r="DD57" s="541">
        <f>SUM(CX55:DD55)</f>
        <v>0</v>
      </c>
      <c r="DJ57" s="673"/>
      <c r="DK57" s="673"/>
      <c r="DL57" s="673"/>
      <c r="DM57" s="673"/>
      <c r="DN57" s="673"/>
      <c r="DO57" s="673"/>
      <c r="DP57" s="673"/>
      <c r="DQ57" s="673"/>
      <c r="DR57" s="673"/>
      <c r="DS57" s="673"/>
      <c r="DT57" s="673"/>
      <c r="DU57" s="673"/>
      <c r="DV57" s="673"/>
      <c r="DW57" s="673"/>
      <c r="DX57" s="673"/>
      <c r="DY57" s="673"/>
      <c r="DZ57" s="673"/>
      <c r="EA57" s="673"/>
      <c r="EB57" s="673"/>
      <c r="EC57" s="673"/>
      <c r="ED57" s="673"/>
    </row>
    <row r="58" spans="1:134" s="673" customFormat="1" ht="24" hidden="1" customHeight="1">
      <c r="A58" s="670" t="s">
        <v>527</v>
      </c>
      <c r="B58" s="670"/>
      <c r="C58" s="671">
        <f>IF(AND(C18="Nej",C19="Ja"),(C10+C26)*1.17*0.8%*C15,0)</f>
        <v>0</v>
      </c>
      <c r="D58" s="671">
        <f>IF(AND(D18="Nej",D19="Ja"),(D10+D26)*1.17*0.8%*D15,0)</f>
        <v>0</v>
      </c>
      <c r="E58" s="671">
        <f>IF(AND(E18="Nej",E19="Ja"),(E38+E39+E40+E26)*E20%*0.8%*E15+(E38+E39+E40+E26)*0.8%*E15,0)</f>
        <v>0</v>
      </c>
      <c r="F58" s="671">
        <f>IF(AND(F18="Nej",F19="Ja"),(F38+F39+F40+F26)*F20%*0.8%*F15+(F38+F39+F40+F26)*0.8%*F15,0)</f>
        <v>0</v>
      </c>
      <c r="G58" s="671">
        <f>IF(AND(G18="Nej",G19="Ja"),(G38+G39+G40+G26)*G20%*0.8%*G15+(G38+G39+G40+G26)*0.8%*G15,0)</f>
        <v>0</v>
      </c>
      <c r="H58" s="671">
        <f>IF(AND(H18="Nej",H19="Ja"),(H38+H39+H40+H26)*H20%*0.8%*H15+(H38+H39+H40+H26)*0.8%*H15,0)</f>
        <v>0</v>
      </c>
      <c r="I58" s="671">
        <f>IF(AND(I18="Nej",I19="Ja"),(I38+I39+I40+I26)*I20%*0.8%*I15+(I38+I39+I40+I26)*0.8%*I15,0)</f>
        <v>0</v>
      </c>
      <c r="J58" s="671">
        <f t="shared" ref="J58:BF58" si="259">IF(AND(J18="Nej",J19="Ja"),(J10+J26)*1.17*0.8%*J15,0)</f>
        <v>0</v>
      </c>
      <c r="K58" s="671">
        <f t="shared" si="259"/>
        <v>0</v>
      </c>
      <c r="L58" s="671">
        <f t="shared" si="259"/>
        <v>0</v>
      </c>
      <c r="M58" s="671">
        <f t="shared" si="259"/>
        <v>0</v>
      </c>
      <c r="N58" s="671">
        <f t="shared" si="259"/>
        <v>0</v>
      </c>
      <c r="O58" s="671">
        <f t="shared" si="259"/>
        <v>0</v>
      </c>
      <c r="P58" s="671">
        <f t="shared" si="259"/>
        <v>0</v>
      </c>
      <c r="Q58" s="671">
        <f t="shared" si="259"/>
        <v>0</v>
      </c>
      <c r="R58" s="671">
        <f t="shared" si="259"/>
        <v>0</v>
      </c>
      <c r="S58" s="671">
        <f t="shared" si="259"/>
        <v>0</v>
      </c>
      <c r="T58" s="671">
        <f t="shared" si="259"/>
        <v>0</v>
      </c>
      <c r="U58" s="671">
        <f t="shared" si="259"/>
        <v>0</v>
      </c>
      <c r="V58" s="671">
        <f t="shared" si="259"/>
        <v>0</v>
      </c>
      <c r="W58" s="671">
        <f t="shared" si="259"/>
        <v>0</v>
      </c>
      <c r="X58" s="671">
        <f t="shared" si="259"/>
        <v>0</v>
      </c>
      <c r="Y58" s="671">
        <f t="shared" ref="Y58" si="260">IF(AND(Y18="Nej",Y19="Ja"),(Y10+Y26)*1.17*0.8%*Y15,0)</f>
        <v>0</v>
      </c>
      <c r="Z58" s="671">
        <f t="shared" si="259"/>
        <v>0</v>
      </c>
      <c r="AA58" s="671">
        <f t="shared" si="259"/>
        <v>0</v>
      </c>
      <c r="AB58" s="671">
        <f t="shared" si="259"/>
        <v>0</v>
      </c>
      <c r="AC58" s="671">
        <f t="shared" si="259"/>
        <v>0</v>
      </c>
      <c r="AD58" s="671">
        <f t="shared" si="259"/>
        <v>0</v>
      </c>
      <c r="AE58" s="671">
        <f t="shared" ref="AE58" si="261">IF(AND(AE18="Nej",AE19="Ja"),(AE10+AE26)*1.17*0.8%*AE15,0)</f>
        <v>0</v>
      </c>
      <c r="AF58" s="671">
        <f t="shared" si="259"/>
        <v>0</v>
      </c>
      <c r="AG58" s="671">
        <f t="shared" si="259"/>
        <v>0</v>
      </c>
      <c r="AH58" s="671">
        <f t="shared" si="259"/>
        <v>0</v>
      </c>
      <c r="AI58" s="671">
        <f t="shared" si="259"/>
        <v>0</v>
      </c>
      <c r="AJ58" s="671">
        <f t="shared" si="259"/>
        <v>0</v>
      </c>
      <c r="AK58" s="671">
        <f t="shared" ref="AK58:AN58" si="262">IF(AND(AK18="Nej",AK19="Ja"),(AK10+AK26)*1.17*0.8%*AK15,0)</f>
        <v>0</v>
      </c>
      <c r="AL58" s="671">
        <f t="shared" si="262"/>
        <v>0</v>
      </c>
      <c r="AM58" s="671">
        <f t="shared" si="262"/>
        <v>0</v>
      </c>
      <c r="AN58" s="671">
        <f t="shared" si="262"/>
        <v>0</v>
      </c>
      <c r="AO58" s="671">
        <f t="shared" ref="AO58:AY58" si="263">IF(AND(AO18="Nej",AO19="Ja"),(AO10+AO26)*1.17*0.8%*AO15,0)</f>
        <v>0</v>
      </c>
      <c r="AP58" s="671">
        <f t="shared" si="263"/>
        <v>0</v>
      </c>
      <c r="AQ58" s="671">
        <f t="shared" si="263"/>
        <v>0</v>
      </c>
      <c r="AR58" s="671">
        <f t="shared" si="263"/>
        <v>0</v>
      </c>
      <c r="AS58" s="671">
        <f t="shared" si="263"/>
        <v>0</v>
      </c>
      <c r="AT58" s="671">
        <f t="shared" si="263"/>
        <v>0</v>
      </c>
      <c r="AU58" s="671">
        <f t="shared" si="263"/>
        <v>0</v>
      </c>
      <c r="AV58" s="671">
        <f t="shared" si="263"/>
        <v>0</v>
      </c>
      <c r="AW58" s="671">
        <f t="shared" si="263"/>
        <v>0</v>
      </c>
      <c r="AX58" s="671">
        <f t="shared" si="263"/>
        <v>0</v>
      </c>
      <c r="AY58" s="671">
        <f t="shared" si="263"/>
        <v>0</v>
      </c>
      <c r="AZ58" s="671">
        <f t="shared" si="259"/>
        <v>0</v>
      </c>
      <c r="BA58" s="671">
        <f t="shared" si="259"/>
        <v>0</v>
      </c>
      <c r="BB58" s="671">
        <f t="shared" si="259"/>
        <v>0</v>
      </c>
      <c r="BC58" s="671">
        <f t="shared" ref="BC58" si="264">IF(AND(BC18="Nej",BC19="Ja"),(BC10+BC26)*1.17*0.8%*BC15,0)</f>
        <v>0</v>
      </c>
      <c r="BD58" s="671">
        <f t="shared" si="259"/>
        <v>0</v>
      </c>
      <c r="BE58" s="671">
        <f t="shared" si="259"/>
        <v>0</v>
      </c>
      <c r="BF58" s="671">
        <f t="shared" si="259"/>
        <v>0</v>
      </c>
      <c r="BG58" s="671">
        <f t="shared" ref="BG58:CP58" si="265">IF(AND(BG18="Nej",BG19="Ja"),(BG10+BG26)*1.17*0.8%*BG15,0)</f>
        <v>0</v>
      </c>
      <c r="BH58" s="671">
        <f t="shared" si="265"/>
        <v>0</v>
      </c>
      <c r="BI58" s="671">
        <f t="shared" si="265"/>
        <v>0</v>
      </c>
      <c r="BJ58" s="671">
        <f t="shared" si="265"/>
        <v>0</v>
      </c>
      <c r="BK58" s="671">
        <f t="shared" si="265"/>
        <v>0</v>
      </c>
      <c r="BL58" s="671">
        <f t="shared" si="265"/>
        <v>0</v>
      </c>
      <c r="BM58" s="671">
        <f t="shared" si="265"/>
        <v>0</v>
      </c>
      <c r="BN58" s="671">
        <f t="shared" si="265"/>
        <v>0</v>
      </c>
      <c r="BO58" s="671">
        <f t="shared" si="265"/>
        <v>0</v>
      </c>
      <c r="BP58" s="671">
        <f t="shared" si="265"/>
        <v>0</v>
      </c>
      <c r="BQ58" s="671">
        <f t="shared" si="265"/>
        <v>0</v>
      </c>
      <c r="BR58" s="671">
        <f t="shared" si="265"/>
        <v>0</v>
      </c>
      <c r="BS58" s="671">
        <f t="shared" si="265"/>
        <v>0</v>
      </c>
      <c r="BT58" s="671">
        <f t="shared" si="265"/>
        <v>0</v>
      </c>
      <c r="BU58" s="671">
        <f t="shared" si="265"/>
        <v>0</v>
      </c>
      <c r="BV58" s="671">
        <f t="shared" si="265"/>
        <v>0</v>
      </c>
      <c r="BW58" s="671">
        <f t="shared" si="265"/>
        <v>0</v>
      </c>
      <c r="BX58" s="671">
        <f t="shared" si="265"/>
        <v>0</v>
      </c>
      <c r="BY58" s="671">
        <f t="shared" si="265"/>
        <v>0</v>
      </c>
      <c r="BZ58" s="671">
        <f t="shared" si="265"/>
        <v>0</v>
      </c>
      <c r="CA58" s="671">
        <f t="shared" si="265"/>
        <v>0</v>
      </c>
      <c r="CB58" s="671">
        <f t="shared" si="265"/>
        <v>0</v>
      </c>
      <c r="CC58" s="671">
        <f t="shared" si="265"/>
        <v>0</v>
      </c>
      <c r="CD58" s="671">
        <f t="shared" ref="CD58" si="266">IF(AND(CD18="Nej",CD19="Ja"),(CD10+CD26)*1.17*0.8%*CD15,0)</f>
        <v>0</v>
      </c>
      <c r="CE58" s="671">
        <f t="shared" si="265"/>
        <v>0</v>
      </c>
      <c r="CF58" s="671">
        <f t="shared" ref="CF58:CG58" si="267">IF(AND(CF18="Nej",CF19="Ja"),(CF10+CF26)*1.17*0.8%*CF15,0)</f>
        <v>0</v>
      </c>
      <c r="CG58" s="671">
        <f t="shared" si="267"/>
        <v>0</v>
      </c>
      <c r="CH58" s="671">
        <f t="shared" si="265"/>
        <v>0</v>
      </c>
      <c r="CI58" s="671">
        <f t="shared" si="265"/>
        <v>0</v>
      </c>
      <c r="CJ58" s="671">
        <f t="shared" si="265"/>
        <v>0</v>
      </c>
      <c r="CK58" s="671">
        <f t="shared" si="265"/>
        <v>0</v>
      </c>
      <c r="CL58" s="671">
        <f t="shared" si="265"/>
        <v>0</v>
      </c>
      <c r="CM58" s="671">
        <f t="shared" si="265"/>
        <v>0</v>
      </c>
      <c r="CN58" s="671">
        <f t="shared" si="265"/>
        <v>0</v>
      </c>
      <c r="CO58" s="671">
        <f t="shared" si="265"/>
        <v>0</v>
      </c>
      <c r="CP58" s="671">
        <f t="shared" si="265"/>
        <v>0</v>
      </c>
      <c r="CQ58" s="671">
        <f t="shared" ref="CQ58:DD58" si="268">IF(AND(CQ18="Nej",CQ19="Ja"),(CQ10+CQ26)*1.17*0.8%*CQ15,0)</f>
        <v>0</v>
      </c>
      <c r="CR58" s="671">
        <f t="shared" si="268"/>
        <v>0</v>
      </c>
      <c r="CS58" s="671">
        <f t="shared" si="268"/>
        <v>0</v>
      </c>
      <c r="CT58" s="671">
        <f t="shared" si="268"/>
        <v>0</v>
      </c>
      <c r="CU58" s="671">
        <f t="shared" si="268"/>
        <v>0</v>
      </c>
      <c r="CV58" s="671">
        <f t="shared" si="268"/>
        <v>0</v>
      </c>
      <c r="CW58" s="671">
        <f t="shared" si="268"/>
        <v>0</v>
      </c>
      <c r="CX58" s="671">
        <f t="shared" si="268"/>
        <v>0</v>
      </c>
      <c r="CY58" s="671">
        <f t="shared" si="268"/>
        <v>0</v>
      </c>
      <c r="CZ58" s="671">
        <f t="shared" si="268"/>
        <v>0</v>
      </c>
      <c r="DA58" s="671">
        <f t="shared" si="268"/>
        <v>0</v>
      </c>
      <c r="DB58" s="671">
        <f t="shared" si="268"/>
        <v>0</v>
      </c>
      <c r="DC58" s="671">
        <f t="shared" si="268"/>
        <v>0</v>
      </c>
      <c r="DD58" s="671">
        <f t="shared" si="268"/>
        <v>0</v>
      </c>
      <c r="DJ58" s="488"/>
      <c r="DK58" s="488"/>
      <c r="DL58" s="488"/>
      <c r="DM58" s="488"/>
      <c r="DN58" s="62"/>
      <c r="DO58" s="62"/>
      <c r="DS58" s="62"/>
      <c r="DT58" s="62"/>
      <c r="DU58" s="62"/>
      <c r="DV58" s="62"/>
      <c r="DW58" s="62"/>
      <c r="DX58" s="62"/>
      <c r="DY58" s="62"/>
      <c r="DZ58" s="62"/>
      <c r="EA58" s="62"/>
    </row>
    <row r="59" spans="1:134" ht="14" thickBot="1">
      <c r="A59" s="542"/>
      <c r="B59" s="519"/>
      <c r="C59" s="543"/>
      <c r="D59" s="519"/>
      <c r="E59" s="519"/>
      <c r="F59" s="519"/>
      <c r="G59" s="519"/>
      <c r="H59" s="519"/>
      <c r="I59" s="519"/>
      <c r="J59" s="519"/>
      <c r="K59" s="519"/>
      <c r="L59" s="519"/>
      <c r="M59" s="519"/>
      <c r="N59" s="519"/>
      <c r="O59" s="519"/>
      <c r="P59" s="519"/>
      <c r="Q59" s="519"/>
      <c r="R59" s="519"/>
      <c r="S59" s="519"/>
      <c r="T59" s="519"/>
      <c r="U59" s="519"/>
      <c r="V59" s="519"/>
      <c r="W59" s="519"/>
      <c r="X59" s="519"/>
      <c r="Y59" s="519"/>
      <c r="Z59" s="519"/>
      <c r="AA59" s="519"/>
      <c r="AB59" s="519"/>
      <c r="AC59" s="519"/>
      <c r="AD59" s="519"/>
      <c r="AE59" s="519"/>
      <c r="AF59" s="519"/>
      <c r="AG59" s="519"/>
      <c r="AH59" s="519"/>
      <c r="AI59" s="519"/>
      <c r="AJ59" s="519"/>
      <c r="AK59" s="519"/>
      <c r="AL59" s="519"/>
      <c r="AM59" s="519"/>
      <c r="AN59" s="519"/>
      <c r="AO59" s="519"/>
      <c r="AP59" s="519"/>
      <c r="AQ59" s="519"/>
      <c r="AR59" s="519"/>
      <c r="AS59" s="519"/>
      <c r="AT59" s="519"/>
      <c r="AU59" s="519"/>
      <c r="AV59" s="519"/>
      <c r="AW59" s="519"/>
      <c r="AX59" s="519"/>
      <c r="AY59" s="519"/>
      <c r="AZ59" s="519"/>
      <c r="BA59" s="519"/>
      <c r="BB59" s="519"/>
      <c r="BC59" s="519"/>
      <c r="BD59" s="519"/>
      <c r="BE59" s="519"/>
      <c r="BF59" s="519"/>
      <c r="BG59" s="519"/>
      <c r="BH59" s="519"/>
      <c r="BI59" s="519"/>
      <c r="BJ59" s="519"/>
      <c r="BK59" s="519"/>
      <c r="BL59" s="519"/>
      <c r="BM59" s="519"/>
      <c r="BN59" s="519"/>
      <c r="BO59" s="519"/>
      <c r="BP59" s="519"/>
      <c r="BQ59" s="519"/>
      <c r="BR59" s="519"/>
      <c r="BS59" s="519"/>
      <c r="BT59" s="519"/>
      <c r="BU59" s="519"/>
      <c r="BV59" s="519"/>
      <c r="BW59" s="519"/>
      <c r="BX59" s="519"/>
      <c r="BY59" s="519"/>
      <c r="BZ59" s="519"/>
      <c r="CA59" s="519"/>
      <c r="CB59" s="519"/>
      <c r="CC59" s="519"/>
      <c r="CD59" s="519"/>
      <c r="CE59" s="519"/>
      <c r="CF59" s="519"/>
      <c r="CG59" s="519"/>
      <c r="CH59" s="519"/>
      <c r="CI59" s="519"/>
      <c r="CJ59" s="519"/>
      <c r="CK59" s="519"/>
      <c r="CL59" s="519"/>
      <c r="CM59" s="519"/>
      <c r="CN59" s="519"/>
      <c r="CO59" s="519"/>
      <c r="CP59" s="519"/>
      <c r="CQ59" s="519"/>
      <c r="CR59" s="519"/>
      <c r="CS59" s="519"/>
      <c r="CT59" s="519"/>
      <c r="CU59" s="519"/>
      <c r="CV59" s="519"/>
      <c r="CW59" s="519"/>
      <c r="CX59" s="519"/>
      <c r="CY59" s="519"/>
      <c r="CZ59" s="519"/>
      <c r="DA59" s="519"/>
      <c r="DB59" s="519"/>
      <c r="DC59" s="519"/>
      <c r="DD59" s="519"/>
    </row>
    <row r="60" spans="1:134" ht="24.75" customHeight="1">
      <c r="A60" s="3139" t="s">
        <v>669</v>
      </c>
      <c r="B60" s="3140"/>
      <c r="C60" s="1591"/>
      <c r="D60" s="1592"/>
      <c r="E60" s="1593"/>
      <c r="F60" s="1593"/>
      <c r="G60" s="1593"/>
      <c r="H60" s="1593"/>
      <c r="I60" s="1593"/>
      <c r="J60" s="1593"/>
      <c r="K60" s="1593"/>
      <c r="L60" s="1593"/>
      <c r="M60" s="1593"/>
      <c r="N60" s="1593"/>
      <c r="O60" s="1593"/>
      <c r="P60" s="1593"/>
      <c r="Q60" s="1593"/>
      <c r="R60" s="1593"/>
      <c r="S60" s="1593"/>
      <c r="T60" s="1593"/>
      <c r="U60" s="1593"/>
      <c r="V60" s="1593"/>
      <c r="W60" s="1593"/>
      <c r="X60" s="1593"/>
      <c r="Y60" s="1593"/>
      <c r="Z60" s="1593"/>
      <c r="AA60" s="1593"/>
      <c r="AB60" s="1593"/>
      <c r="AC60" s="1593"/>
      <c r="AD60" s="1593"/>
      <c r="AE60" s="1593"/>
      <c r="AF60" s="1593"/>
      <c r="AG60" s="1593"/>
      <c r="AH60" s="1593"/>
      <c r="AI60" s="1593"/>
      <c r="AJ60" s="1593"/>
      <c r="AK60" s="1593"/>
      <c r="AL60" s="1593"/>
      <c r="AM60" s="1593"/>
      <c r="AN60" s="1593"/>
      <c r="AO60" s="1593"/>
      <c r="AP60" s="1593"/>
      <c r="AQ60" s="1593"/>
      <c r="AR60" s="2271"/>
      <c r="AS60" s="2271"/>
      <c r="AT60" s="2271"/>
      <c r="AU60" s="2271"/>
      <c r="AV60" s="2271"/>
      <c r="AW60" s="2271"/>
      <c r="AX60" s="2271"/>
      <c r="AY60" s="2271"/>
      <c r="AZ60" s="1593"/>
      <c r="BA60" s="1593"/>
      <c r="BB60" s="1593"/>
      <c r="BC60" s="1593"/>
      <c r="BD60" s="1593"/>
      <c r="BE60" s="1593"/>
      <c r="BF60" s="1593"/>
      <c r="BG60" s="1593"/>
      <c r="BH60" s="1593"/>
      <c r="BI60" s="1593"/>
      <c r="BJ60" s="1593"/>
      <c r="BK60" s="1593"/>
      <c r="BL60" s="1593"/>
      <c r="BM60" s="1593"/>
      <c r="BN60" s="1593"/>
      <c r="BO60" s="1593"/>
      <c r="BP60" s="1593"/>
      <c r="BQ60" s="1593"/>
      <c r="BR60" s="1593"/>
      <c r="BS60" s="1593"/>
      <c r="BT60" s="1593"/>
      <c r="BU60" s="1593"/>
      <c r="BV60" s="1593"/>
      <c r="BW60" s="1593"/>
      <c r="BX60" s="1593"/>
      <c r="BY60" s="1593"/>
      <c r="BZ60" s="1593"/>
      <c r="CA60" s="1593"/>
      <c r="CB60" s="1593"/>
      <c r="CC60" s="1593"/>
      <c r="CD60" s="1593"/>
      <c r="CE60" s="1593"/>
      <c r="CF60" s="1593"/>
      <c r="CG60" s="1593"/>
      <c r="CH60" s="1593"/>
      <c r="CI60" s="1593"/>
      <c r="CJ60" s="1593"/>
      <c r="CK60" s="1593"/>
      <c r="CL60" s="1593"/>
      <c r="CM60" s="1593"/>
      <c r="CN60" s="1593"/>
      <c r="CO60" s="1593"/>
      <c r="CP60" s="1593"/>
      <c r="CQ60" s="1593"/>
      <c r="CR60" s="1593"/>
      <c r="CS60" s="1593"/>
      <c r="CT60" s="1593"/>
      <c r="CU60" s="1593"/>
      <c r="CV60" s="1593"/>
      <c r="CW60" s="1593"/>
      <c r="CX60" s="1593"/>
      <c r="CY60" s="1593"/>
      <c r="CZ60" s="1593"/>
      <c r="DA60" s="1593"/>
      <c r="DB60" s="1593"/>
      <c r="DC60" s="1593"/>
      <c r="DD60" s="1593"/>
    </row>
    <row r="61" spans="1:134" ht="25" customHeight="1">
      <c r="A61" s="544">
        <v>1</v>
      </c>
      <c r="B61" s="695" t="s">
        <v>1483</v>
      </c>
      <c r="C61" s="545"/>
      <c r="D61" s="527"/>
      <c r="E61" s="528"/>
      <c r="F61" s="528"/>
      <c r="G61" s="528"/>
      <c r="H61" s="528"/>
      <c r="I61" s="528"/>
      <c r="J61" s="528"/>
      <c r="K61" s="528"/>
      <c r="L61" s="528"/>
      <c r="M61" s="528"/>
      <c r="N61" s="528"/>
      <c r="O61" s="528"/>
      <c r="P61" s="528"/>
      <c r="Q61" s="528"/>
      <c r="R61" s="528"/>
      <c r="S61" s="528"/>
      <c r="T61" s="528"/>
      <c r="U61" s="528"/>
      <c r="V61" s="528"/>
      <c r="W61" s="528"/>
      <c r="X61" s="528"/>
      <c r="Y61" s="528"/>
      <c r="Z61" s="528"/>
      <c r="AA61" s="528"/>
      <c r="AB61" s="528"/>
      <c r="AC61" s="528"/>
      <c r="AD61" s="528"/>
      <c r="AE61" s="528"/>
      <c r="AF61" s="528"/>
      <c r="AG61" s="528"/>
      <c r="AH61" s="528"/>
      <c r="AI61" s="528"/>
      <c r="AJ61" s="528"/>
      <c r="AK61" s="528"/>
      <c r="AL61" s="528"/>
      <c r="AM61" s="528"/>
      <c r="AN61" s="528"/>
      <c r="AO61" s="528"/>
      <c r="AP61" s="528"/>
      <c r="AQ61" s="528"/>
      <c r="AR61" s="528"/>
      <c r="AS61" s="528"/>
      <c r="AT61" s="528"/>
      <c r="AU61" s="528"/>
      <c r="AV61" s="528"/>
      <c r="AW61" s="528"/>
      <c r="AX61" s="528"/>
      <c r="AY61" s="528"/>
      <c r="AZ61" s="528"/>
      <c r="BA61" s="528"/>
      <c r="BB61" s="528"/>
      <c r="BC61" s="528"/>
      <c r="BD61" s="528"/>
      <c r="BE61" s="528"/>
      <c r="BF61" s="528"/>
      <c r="BG61" s="528"/>
      <c r="BH61" s="528"/>
      <c r="BI61" s="528"/>
      <c r="BJ61" s="528"/>
      <c r="BK61" s="528"/>
      <c r="BL61" s="528"/>
      <c r="BM61" s="528"/>
      <c r="BN61" s="528"/>
      <c r="BO61" s="528"/>
      <c r="BP61" s="528"/>
      <c r="BQ61" s="528"/>
      <c r="BR61" s="528"/>
      <c r="BS61" s="528"/>
      <c r="BT61" s="528"/>
      <c r="BU61" s="528"/>
      <c r="BV61" s="528"/>
      <c r="BW61" s="528"/>
      <c r="BX61" s="528"/>
      <c r="BY61" s="528"/>
      <c r="BZ61" s="528"/>
      <c r="CA61" s="528"/>
      <c r="CB61" s="528"/>
      <c r="CC61" s="528"/>
      <c r="CD61" s="528"/>
      <c r="CE61" s="528"/>
      <c r="CF61" s="528"/>
      <c r="CG61" s="528"/>
      <c r="CH61" s="528"/>
      <c r="CI61" s="528"/>
      <c r="CJ61" s="528"/>
      <c r="CK61" s="528"/>
      <c r="CL61" s="528"/>
      <c r="CM61" s="528"/>
      <c r="CN61" s="528"/>
      <c r="CO61" s="528"/>
      <c r="CP61" s="528"/>
      <c r="CQ61" s="528"/>
      <c r="CR61" s="528"/>
      <c r="CS61" s="528"/>
      <c r="CT61" s="528"/>
      <c r="CU61" s="528"/>
      <c r="CV61" s="528"/>
      <c r="CW61" s="528"/>
      <c r="CX61" s="528"/>
      <c r="CY61" s="528"/>
      <c r="CZ61" s="528"/>
      <c r="DA61" s="528"/>
      <c r="DB61" s="528"/>
      <c r="DC61" s="528"/>
      <c r="DD61" s="528"/>
    </row>
    <row r="62" spans="1:134">
      <c r="A62" s="884">
        <v>2</v>
      </c>
      <c r="B62" s="546" t="s">
        <v>1485</v>
      </c>
      <c r="C62" s="545"/>
      <c r="D62" s="527"/>
      <c r="E62" s="528"/>
      <c r="F62" s="528"/>
      <c r="G62" s="528"/>
      <c r="H62" s="528"/>
      <c r="I62" s="528"/>
      <c r="J62" s="528"/>
      <c r="K62" s="528"/>
      <c r="L62" s="528"/>
      <c r="M62" s="528"/>
      <c r="N62" s="528"/>
      <c r="O62" s="528"/>
      <c r="P62" s="528"/>
      <c r="Q62" s="528"/>
      <c r="R62" s="528"/>
      <c r="S62" s="528"/>
      <c r="T62" s="528"/>
      <c r="U62" s="528"/>
      <c r="V62" s="528"/>
      <c r="W62" s="528"/>
      <c r="X62" s="528"/>
      <c r="Y62" s="528"/>
      <c r="Z62" s="528"/>
      <c r="AA62" s="528"/>
      <c r="AB62" s="528"/>
      <c r="AC62" s="528"/>
      <c r="AD62" s="528"/>
      <c r="AE62" s="528"/>
      <c r="AF62" s="528"/>
      <c r="AG62" s="528"/>
      <c r="AH62" s="528"/>
      <c r="AI62" s="528"/>
      <c r="AJ62" s="528"/>
      <c r="AK62" s="528"/>
      <c r="AL62" s="528"/>
      <c r="AM62" s="528"/>
      <c r="AN62" s="528"/>
      <c r="AO62" s="528"/>
      <c r="AP62" s="528"/>
      <c r="AQ62" s="528"/>
      <c r="AR62" s="528"/>
      <c r="AS62" s="528"/>
      <c r="AT62" s="528"/>
      <c r="AU62" s="528"/>
      <c r="AV62" s="528"/>
      <c r="AW62" s="528"/>
      <c r="AX62" s="528"/>
      <c r="AY62" s="528"/>
      <c r="AZ62" s="528"/>
      <c r="BA62" s="528"/>
      <c r="BB62" s="528"/>
      <c r="BC62" s="528"/>
      <c r="BD62" s="528"/>
      <c r="BE62" s="528"/>
      <c r="BF62" s="528"/>
      <c r="BG62" s="528"/>
      <c r="BH62" s="528"/>
      <c r="BI62" s="528"/>
      <c r="BJ62" s="528"/>
      <c r="BK62" s="528"/>
      <c r="BL62" s="528"/>
      <c r="BM62" s="528"/>
      <c r="BN62" s="528"/>
      <c r="BO62" s="528"/>
      <c r="BP62" s="528"/>
      <c r="BQ62" s="528"/>
      <c r="BR62" s="528"/>
      <c r="BS62" s="528"/>
      <c r="BT62" s="528"/>
      <c r="BU62" s="528"/>
      <c r="BV62" s="528"/>
      <c r="BW62" s="528"/>
      <c r="BX62" s="528"/>
      <c r="BY62" s="528"/>
      <c r="BZ62" s="528"/>
      <c r="CA62" s="528"/>
      <c r="CB62" s="528"/>
      <c r="CC62" s="528"/>
      <c r="CD62" s="528"/>
      <c r="CE62" s="528"/>
      <c r="CF62" s="528"/>
      <c r="CG62" s="528"/>
      <c r="CH62" s="528"/>
      <c r="CI62" s="528"/>
      <c r="CJ62" s="528"/>
      <c r="CK62" s="528"/>
      <c r="CL62" s="528"/>
      <c r="CM62" s="528"/>
      <c r="CN62" s="528"/>
      <c r="CO62" s="528"/>
      <c r="CP62" s="528"/>
      <c r="CQ62" s="528"/>
      <c r="CR62" s="528"/>
      <c r="CS62" s="528"/>
      <c r="CT62" s="528"/>
      <c r="CU62" s="528"/>
      <c r="CV62" s="528"/>
      <c r="CW62" s="528"/>
      <c r="CX62" s="528"/>
      <c r="CY62" s="528"/>
      <c r="CZ62" s="528"/>
      <c r="DA62" s="528"/>
      <c r="DB62" s="528"/>
      <c r="DC62" s="528"/>
      <c r="DD62" s="528"/>
    </row>
    <row r="63" spans="1:134">
      <c r="A63" s="884">
        <v>3</v>
      </c>
      <c r="B63" s="546" t="s">
        <v>1484</v>
      </c>
      <c r="C63" s="545"/>
      <c r="D63" s="527"/>
      <c r="E63" s="528"/>
      <c r="F63" s="528"/>
      <c r="G63" s="528"/>
      <c r="H63" s="528"/>
      <c r="I63" s="528"/>
      <c r="J63" s="528"/>
      <c r="K63" s="528"/>
      <c r="L63" s="528"/>
      <c r="M63" s="528"/>
      <c r="N63" s="528"/>
      <c r="O63" s="528"/>
      <c r="P63" s="528"/>
      <c r="Q63" s="528"/>
      <c r="R63" s="528"/>
      <c r="S63" s="528"/>
      <c r="T63" s="528"/>
      <c r="U63" s="528"/>
      <c r="V63" s="528"/>
      <c r="W63" s="528"/>
      <c r="X63" s="528"/>
      <c r="Y63" s="528"/>
      <c r="Z63" s="528"/>
      <c r="AA63" s="528"/>
      <c r="AB63" s="528"/>
      <c r="AC63" s="528"/>
      <c r="AD63" s="528"/>
      <c r="AE63" s="528"/>
      <c r="AF63" s="528"/>
      <c r="AG63" s="528"/>
      <c r="AH63" s="528"/>
      <c r="AI63" s="528"/>
      <c r="AJ63" s="528"/>
      <c r="AK63" s="528"/>
      <c r="AL63" s="528"/>
      <c r="AM63" s="528"/>
      <c r="AN63" s="528"/>
      <c r="AO63" s="528"/>
      <c r="AP63" s="528"/>
      <c r="AQ63" s="528"/>
      <c r="AR63" s="528"/>
      <c r="AS63" s="528"/>
      <c r="AT63" s="528"/>
      <c r="AU63" s="528"/>
      <c r="AV63" s="528"/>
      <c r="AW63" s="528"/>
      <c r="AX63" s="528"/>
      <c r="AY63" s="528"/>
      <c r="AZ63" s="528"/>
      <c r="BA63" s="528"/>
      <c r="BB63" s="528"/>
      <c r="BC63" s="528"/>
      <c r="BD63" s="528"/>
      <c r="BE63" s="528"/>
      <c r="BF63" s="528"/>
      <c r="BG63" s="528"/>
      <c r="BH63" s="528"/>
      <c r="BI63" s="528"/>
      <c r="BJ63" s="528"/>
      <c r="BK63" s="528"/>
      <c r="BL63" s="528"/>
      <c r="BM63" s="528"/>
      <c r="BN63" s="528"/>
      <c r="BO63" s="528"/>
      <c r="BP63" s="528"/>
      <c r="BQ63" s="528"/>
      <c r="BR63" s="528"/>
      <c r="BS63" s="528"/>
      <c r="BT63" s="528"/>
      <c r="BU63" s="528"/>
      <c r="BV63" s="528"/>
      <c r="BW63" s="528"/>
      <c r="BX63" s="528"/>
      <c r="BY63" s="528"/>
      <c r="BZ63" s="528"/>
      <c r="CA63" s="528"/>
      <c r="CB63" s="528"/>
      <c r="CC63" s="528"/>
      <c r="CD63" s="528"/>
      <c r="CE63" s="528"/>
      <c r="CF63" s="528"/>
      <c r="CG63" s="528"/>
      <c r="CH63" s="528"/>
      <c r="CI63" s="528"/>
      <c r="CJ63" s="528"/>
      <c r="CK63" s="528"/>
      <c r="CL63" s="528"/>
      <c r="CM63" s="528"/>
      <c r="CN63" s="528"/>
      <c r="CO63" s="528"/>
      <c r="CP63" s="528"/>
      <c r="CQ63" s="528"/>
      <c r="CR63" s="528"/>
      <c r="CS63" s="528"/>
      <c r="CT63" s="528"/>
      <c r="CU63" s="528"/>
      <c r="CV63" s="528"/>
      <c r="CW63" s="528"/>
      <c r="CX63" s="528"/>
      <c r="CY63" s="528"/>
      <c r="CZ63" s="528"/>
      <c r="DA63" s="528"/>
      <c r="DB63" s="528"/>
      <c r="DC63" s="528"/>
      <c r="DD63" s="528"/>
    </row>
    <row r="64" spans="1:134">
      <c r="A64" s="884">
        <v>4</v>
      </c>
      <c r="B64" s="546" t="s">
        <v>1486</v>
      </c>
      <c r="C64" s="545"/>
      <c r="D64" s="527"/>
      <c r="E64" s="528"/>
      <c r="F64" s="528"/>
      <c r="G64" s="528"/>
      <c r="H64" s="528"/>
      <c r="I64" s="528"/>
      <c r="J64" s="528"/>
      <c r="K64" s="528"/>
      <c r="L64" s="528"/>
      <c r="M64" s="528"/>
      <c r="N64" s="528"/>
      <c r="O64" s="528"/>
      <c r="P64" s="528"/>
      <c r="Q64" s="528"/>
      <c r="R64" s="528"/>
      <c r="S64" s="528"/>
      <c r="T64" s="528"/>
      <c r="U64" s="528"/>
      <c r="V64" s="528"/>
      <c r="W64" s="528"/>
      <c r="X64" s="528"/>
      <c r="Y64" s="528"/>
      <c r="Z64" s="528"/>
      <c r="AA64" s="528"/>
      <c r="AB64" s="528"/>
      <c r="AC64" s="528"/>
      <c r="AD64" s="528"/>
      <c r="AE64" s="528"/>
      <c r="AF64" s="528"/>
      <c r="AG64" s="528"/>
      <c r="AH64" s="528"/>
      <c r="AI64" s="528"/>
      <c r="AJ64" s="528"/>
      <c r="AK64" s="528"/>
      <c r="AL64" s="528"/>
      <c r="AM64" s="528"/>
      <c r="AN64" s="528"/>
      <c r="AO64" s="528"/>
      <c r="AP64" s="528"/>
      <c r="AQ64" s="528"/>
      <c r="AR64" s="528"/>
      <c r="AS64" s="528"/>
      <c r="AT64" s="528"/>
      <c r="AU64" s="528"/>
      <c r="AV64" s="528"/>
      <c r="AW64" s="528"/>
      <c r="AX64" s="528"/>
      <c r="AY64" s="528"/>
      <c r="AZ64" s="528"/>
      <c r="BA64" s="528"/>
      <c r="BB64" s="528"/>
      <c r="BC64" s="528"/>
      <c r="BD64" s="528"/>
      <c r="BE64" s="528"/>
      <c r="BF64" s="528"/>
      <c r="BG64" s="528"/>
      <c r="BH64" s="528"/>
      <c r="BI64" s="528"/>
      <c r="BJ64" s="528"/>
      <c r="BK64" s="528"/>
      <c r="BL64" s="528"/>
      <c r="BM64" s="528"/>
      <c r="BN64" s="528"/>
      <c r="BO64" s="528"/>
      <c r="BP64" s="528"/>
      <c r="BQ64" s="528"/>
      <c r="BR64" s="528"/>
      <c r="BS64" s="528"/>
      <c r="BT64" s="528"/>
      <c r="BU64" s="528"/>
      <c r="BV64" s="528"/>
      <c r="BW64" s="528"/>
      <c r="BX64" s="528"/>
      <c r="BY64" s="528"/>
      <c r="BZ64" s="528"/>
      <c r="CA64" s="528"/>
      <c r="CB64" s="528"/>
      <c r="CC64" s="528"/>
      <c r="CD64" s="528"/>
      <c r="CE64" s="528"/>
      <c r="CF64" s="528"/>
      <c r="CG64" s="528"/>
      <c r="CH64" s="528"/>
      <c r="CI64" s="528"/>
      <c r="CJ64" s="528"/>
      <c r="CK64" s="528"/>
      <c r="CL64" s="528"/>
      <c r="CM64" s="528"/>
      <c r="CN64" s="528"/>
      <c r="CO64" s="528"/>
      <c r="CP64" s="528"/>
      <c r="CQ64" s="528"/>
      <c r="CR64" s="528"/>
      <c r="CS64" s="528"/>
      <c r="CT64" s="528"/>
      <c r="CU64" s="528"/>
      <c r="CV64" s="528"/>
      <c r="CW64" s="528"/>
      <c r="CX64" s="528"/>
      <c r="CY64" s="528"/>
      <c r="CZ64" s="528"/>
      <c r="DA64" s="528"/>
      <c r="DB64" s="528"/>
      <c r="DC64" s="528"/>
      <c r="DD64" s="528"/>
      <c r="DP64" s="488"/>
      <c r="DQ64" s="488"/>
      <c r="DR64" s="488"/>
    </row>
    <row r="65" spans="1:134">
      <c r="A65" s="884">
        <v>5</v>
      </c>
      <c r="B65" s="546" t="s">
        <v>670</v>
      </c>
      <c r="C65" s="545"/>
      <c r="D65" s="527"/>
      <c r="E65" s="528"/>
      <c r="F65" s="528"/>
      <c r="G65" s="528"/>
      <c r="H65" s="528"/>
      <c r="I65" s="528"/>
      <c r="J65" s="528"/>
      <c r="K65" s="528"/>
      <c r="L65" s="528"/>
      <c r="M65" s="528"/>
      <c r="N65" s="528"/>
      <c r="O65" s="528"/>
      <c r="P65" s="528"/>
      <c r="Q65" s="528"/>
      <c r="R65" s="528"/>
      <c r="S65" s="528"/>
      <c r="T65" s="528"/>
      <c r="U65" s="528"/>
      <c r="V65" s="528"/>
      <c r="W65" s="528"/>
      <c r="X65" s="528"/>
      <c r="Y65" s="528"/>
      <c r="Z65" s="528"/>
      <c r="AA65" s="528"/>
      <c r="AB65" s="528"/>
      <c r="AC65" s="528"/>
      <c r="AD65" s="528"/>
      <c r="AE65" s="528"/>
      <c r="AF65" s="528"/>
      <c r="AG65" s="528"/>
      <c r="AH65" s="528"/>
      <c r="AI65" s="528"/>
      <c r="AJ65" s="528"/>
      <c r="AK65" s="528"/>
      <c r="AL65" s="528"/>
      <c r="AM65" s="528"/>
      <c r="AN65" s="528"/>
      <c r="AO65" s="528"/>
      <c r="AP65" s="528"/>
      <c r="AQ65" s="528"/>
      <c r="AR65" s="528"/>
      <c r="AS65" s="528"/>
      <c r="AT65" s="528"/>
      <c r="AU65" s="528"/>
      <c r="AV65" s="528"/>
      <c r="AW65" s="528"/>
      <c r="AX65" s="528"/>
      <c r="AY65" s="528"/>
      <c r="AZ65" s="528"/>
      <c r="BA65" s="528"/>
      <c r="BB65" s="528"/>
      <c r="BC65" s="528"/>
      <c r="BD65" s="528"/>
      <c r="BE65" s="528"/>
      <c r="BF65" s="528"/>
      <c r="BG65" s="528"/>
      <c r="BH65" s="528"/>
      <c r="BI65" s="528"/>
      <c r="BJ65" s="528"/>
      <c r="BK65" s="528"/>
      <c r="BL65" s="528"/>
      <c r="BM65" s="528"/>
      <c r="BN65" s="528"/>
      <c r="BO65" s="528"/>
      <c r="BP65" s="528"/>
      <c r="BQ65" s="528"/>
      <c r="BR65" s="528"/>
      <c r="BS65" s="528"/>
      <c r="BT65" s="528"/>
      <c r="BU65" s="528"/>
      <c r="BV65" s="528"/>
      <c r="BW65" s="528"/>
      <c r="BX65" s="528"/>
      <c r="BY65" s="528"/>
      <c r="BZ65" s="528"/>
      <c r="CA65" s="528"/>
      <c r="CB65" s="528"/>
      <c r="CC65" s="528"/>
      <c r="CD65" s="528"/>
      <c r="CE65" s="528"/>
      <c r="CF65" s="528"/>
      <c r="CG65" s="528"/>
      <c r="CH65" s="528"/>
      <c r="CI65" s="528"/>
      <c r="CJ65" s="528"/>
      <c r="CK65" s="528"/>
      <c r="CL65" s="528"/>
      <c r="CM65" s="528"/>
      <c r="CN65" s="528"/>
      <c r="CO65" s="528"/>
      <c r="CP65" s="528"/>
      <c r="CQ65" s="528"/>
      <c r="CR65" s="528"/>
      <c r="CS65" s="528"/>
      <c r="CT65" s="528"/>
      <c r="CU65" s="528"/>
      <c r="CV65" s="528"/>
      <c r="CW65" s="528"/>
      <c r="CX65" s="528"/>
      <c r="CY65" s="528"/>
      <c r="CZ65" s="528"/>
      <c r="DA65" s="528"/>
      <c r="DB65" s="528"/>
      <c r="DC65" s="528"/>
      <c r="DD65" s="528"/>
    </row>
    <row r="66" spans="1:134">
      <c r="A66" s="884">
        <v>6</v>
      </c>
      <c r="B66" s="547" t="s">
        <v>671</v>
      </c>
      <c r="C66" s="545"/>
      <c r="D66" s="527"/>
      <c r="E66" s="528"/>
      <c r="F66" s="528"/>
      <c r="G66" s="528"/>
      <c r="H66" s="528"/>
      <c r="I66" s="528"/>
      <c r="J66" s="528"/>
      <c r="K66" s="528"/>
      <c r="L66" s="528"/>
      <c r="M66" s="528"/>
      <c r="N66" s="528"/>
      <c r="O66" s="528"/>
      <c r="P66" s="528"/>
      <c r="Q66" s="528"/>
      <c r="R66" s="528"/>
      <c r="S66" s="528"/>
      <c r="T66" s="528"/>
      <c r="U66" s="528"/>
      <c r="V66" s="528"/>
      <c r="W66" s="528"/>
      <c r="X66" s="528"/>
      <c r="Y66" s="528"/>
      <c r="Z66" s="528"/>
      <c r="AA66" s="528"/>
      <c r="AB66" s="528"/>
      <c r="AC66" s="528"/>
      <c r="AD66" s="528"/>
      <c r="AE66" s="528"/>
      <c r="AF66" s="528"/>
      <c r="AG66" s="528"/>
      <c r="AH66" s="528"/>
      <c r="AI66" s="528"/>
      <c r="AJ66" s="528"/>
      <c r="AK66" s="528"/>
      <c r="AL66" s="528"/>
      <c r="AM66" s="528"/>
      <c r="AN66" s="528"/>
      <c r="AO66" s="528"/>
      <c r="AP66" s="528"/>
      <c r="AQ66" s="528"/>
      <c r="AR66" s="528"/>
      <c r="AS66" s="528"/>
      <c r="AT66" s="528"/>
      <c r="AU66" s="528"/>
      <c r="AV66" s="528"/>
      <c r="AW66" s="528"/>
      <c r="AX66" s="528"/>
      <c r="AY66" s="528"/>
      <c r="AZ66" s="528"/>
      <c r="BA66" s="528"/>
      <c r="BB66" s="528"/>
      <c r="BC66" s="528"/>
      <c r="BD66" s="528"/>
      <c r="BE66" s="528"/>
      <c r="BF66" s="528"/>
      <c r="BG66" s="528"/>
      <c r="BH66" s="528"/>
      <c r="BI66" s="528"/>
      <c r="BJ66" s="528"/>
      <c r="BK66" s="528"/>
      <c r="BL66" s="528"/>
      <c r="BM66" s="528"/>
      <c r="BN66" s="528"/>
      <c r="BO66" s="528"/>
      <c r="BP66" s="528"/>
      <c r="BQ66" s="528"/>
      <c r="BR66" s="528"/>
      <c r="BS66" s="528"/>
      <c r="BT66" s="528"/>
      <c r="BU66" s="528"/>
      <c r="BV66" s="528"/>
      <c r="BW66" s="528"/>
      <c r="BX66" s="528"/>
      <c r="BY66" s="528"/>
      <c r="BZ66" s="528"/>
      <c r="CA66" s="528"/>
      <c r="CB66" s="528"/>
      <c r="CC66" s="528"/>
      <c r="CD66" s="528"/>
      <c r="CE66" s="528"/>
      <c r="CF66" s="528"/>
      <c r="CG66" s="528"/>
      <c r="CH66" s="528"/>
      <c r="CI66" s="528"/>
      <c r="CJ66" s="528"/>
      <c r="CK66" s="528"/>
      <c r="CL66" s="528"/>
      <c r="CM66" s="528"/>
      <c r="CN66" s="528"/>
      <c r="CO66" s="528"/>
      <c r="CP66" s="528"/>
      <c r="CQ66" s="528"/>
      <c r="CR66" s="528"/>
      <c r="CS66" s="528"/>
      <c r="CT66" s="528"/>
      <c r="CU66" s="528"/>
      <c r="CV66" s="528"/>
      <c r="CW66" s="528"/>
      <c r="CX66" s="528"/>
      <c r="CY66" s="528"/>
      <c r="CZ66" s="528"/>
      <c r="DA66" s="528"/>
      <c r="DB66" s="528"/>
      <c r="DC66" s="528"/>
      <c r="DD66" s="528"/>
    </row>
    <row r="67" spans="1:134" ht="14" thickBot="1">
      <c r="A67" s="884">
        <v>7</v>
      </c>
      <c r="B67" s="547" t="s">
        <v>534</v>
      </c>
      <c r="C67" s="545"/>
      <c r="D67" s="527"/>
      <c r="E67" s="528"/>
      <c r="F67" s="528"/>
      <c r="G67" s="528"/>
      <c r="H67" s="528"/>
      <c r="I67" s="528"/>
      <c r="J67" s="528"/>
      <c r="K67" s="528"/>
      <c r="L67" s="528"/>
      <c r="M67" s="528"/>
      <c r="N67" s="528"/>
      <c r="O67" s="528"/>
      <c r="P67" s="528"/>
      <c r="Q67" s="528"/>
      <c r="R67" s="528"/>
      <c r="S67" s="528"/>
      <c r="T67" s="528"/>
      <c r="U67" s="528"/>
      <c r="V67" s="528"/>
      <c r="W67" s="528"/>
      <c r="X67" s="528"/>
      <c r="Y67" s="528"/>
      <c r="Z67" s="528"/>
      <c r="AA67" s="528"/>
      <c r="AB67" s="528"/>
      <c r="AC67" s="528"/>
      <c r="AD67" s="528"/>
      <c r="AE67" s="528"/>
      <c r="AF67" s="528"/>
      <c r="AG67" s="528"/>
      <c r="AH67" s="528"/>
      <c r="AI67" s="528"/>
      <c r="AJ67" s="528"/>
      <c r="AK67" s="528"/>
      <c r="AL67" s="528"/>
      <c r="AM67" s="528"/>
      <c r="AN67" s="528"/>
      <c r="AO67" s="528"/>
      <c r="AP67" s="528"/>
      <c r="AQ67" s="528"/>
      <c r="AR67" s="528"/>
      <c r="AS67" s="528"/>
      <c r="AT67" s="528"/>
      <c r="AU67" s="528"/>
      <c r="AV67" s="528"/>
      <c r="AW67" s="528"/>
      <c r="AX67" s="528"/>
      <c r="AY67" s="528"/>
      <c r="AZ67" s="528"/>
      <c r="BA67" s="528"/>
      <c r="BB67" s="528"/>
      <c r="BC67" s="528"/>
      <c r="BD67" s="528"/>
      <c r="BE67" s="528"/>
      <c r="BF67" s="528"/>
      <c r="BG67" s="528"/>
      <c r="BH67" s="528"/>
      <c r="BI67" s="528"/>
      <c r="BJ67" s="528"/>
      <c r="BK67" s="528"/>
      <c r="BL67" s="528"/>
      <c r="BM67" s="528"/>
      <c r="BN67" s="528"/>
      <c r="BO67" s="528"/>
      <c r="BP67" s="528"/>
      <c r="BQ67" s="528"/>
      <c r="BR67" s="528"/>
      <c r="BS67" s="528"/>
      <c r="BT67" s="528"/>
      <c r="BU67" s="528"/>
      <c r="BV67" s="528"/>
      <c r="BW67" s="528"/>
      <c r="BX67" s="528"/>
      <c r="BY67" s="528"/>
      <c r="BZ67" s="528"/>
      <c r="CA67" s="528"/>
      <c r="CB67" s="528"/>
      <c r="CC67" s="528"/>
      <c r="CD67" s="528"/>
      <c r="CE67" s="528"/>
      <c r="CF67" s="528"/>
      <c r="CG67" s="528"/>
      <c r="CH67" s="528"/>
      <c r="CI67" s="528"/>
      <c r="CJ67" s="528"/>
      <c r="CK67" s="528"/>
      <c r="CL67" s="528"/>
      <c r="CM67" s="528"/>
      <c r="CN67" s="528"/>
      <c r="CO67" s="528"/>
      <c r="CP67" s="528"/>
      <c r="CQ67" s="528"/>
      <c r="CR67" s="528"/>
      <c r="CS67" s="528"/>
      <c r="CT67" s="528"/>
      <c r="CU67" s="528"/>
      <c r="CV67" s="528"/>
      <c r="CW67" s="528"/>
      <c r="CX67" s="528"/>
      <c r="CY67" s="528"/>
      <c r="CZ67" s="528"/>
      <c r="DA67" s="528"/>
      <c r="DB67" s="528"/>
      <c r="DC67" s="528"/>
      <c r="DD67" s="528"/>
    </row>
    <row r="68" spans="1:134" ht="14" thickBot="1">
      <c r="A68" s="548"/>
      <c r="B68" s="1594" t="str">
        <f>"Samlede lønrefusioner pr. år "&amp;budgetår</f>
        <v>Samlede lønrefusioner pr. år 2026</v>
      </c>
      <c r="C68" s="1595">
        <f t="shared" ref="C68:AJ68" si="269">SUM(C61:C67)</f>
        <v>0</v>
      </c>
      <c r="D68" s="1596">
        <f t="shared" si="269"/>
        <v>0</v>
      </c>
      <c r="E68" s="1597">
        <f t="shared" si="269"/>
        <v>0</v>
      </c>
      <c r="F68" s="1597">
        <f t="shared" ref="F68" si="270">SUM(F61:F67)</f>
        <v>0</v>
      </c>
      <c r="G68" s="1597">
        <f t="shared" si="269"/>
        <v>0</v>
      </c>
      <c r="H68" s="1597">
        <f t="shared" ref="H68:I68" si="271">SUM(H61:H67)</f>
        <v>0</v>
      </c>
      <c r="I68" s="1597">
        <f t="shared" si="271"/>
        <v>0</v>
      </c>
      <c r="J68" s="1597">
        <f t="shared" si="269"/>
        <v>0</v>
      </c>
      <c r="K68" s="1597">
        <f t="shared" si="269"/>
        <v>0</v>
      </c>
      <c r="L68" s="1597">
        <f t="shared" ref="L68" si="272">SUM(L61:L67)</f>
        <v>0</v>
      </c>
      <c r="M68" s="1597">
        <f t="shared" si="269"/>
        <v>0</v>
      </c>
      <c r="N68" s="1597">
        <f t="shared" si="269"/>
        <v>0</v>
      </c>
      <c r="O68" s="1597">
        <f t="shared" si="269"/>
        <v>0</v>
      </c>
      <c r="P68" s="1597">
        <f t="shared" si="269"/>
        <v>0</v>
      </c>
      <c r="Q68" s="1597">
        <f t="shared" si="269"/>
        <v>0</v>
      </c>
      <c r="R68" s="1597">
        <f t="shared" si="269"/>
        <v>0</v>
      </c>
      <c r="S68" s="1597">
        <f t="shared" si="269"/>
        <v>0</v>
      </c>
      <c r="T68" s="1597">
        <f t="shared" si="269"/>
        <v>0</v>
      </c>
      <c r="U68" s="1597">
        <f t="shared" si="269"/>
        <v>0</v>
      </c>
      <c r="V68" s="1597">
        <f t="shared" si="269"/>
        <v>0</v>
      </c>
      <c r="W68" s="1597">
        <f t="shared" si="269"/>
        <v>0</v>
      </c>
      <c r="X68" s="1597">
        <f t="shared" si="269"/>
        <v>0</v>
      </c>
      <c r="Y68" s="1597">
        <f t="shared" ref="Y68" si="273">SUM(Y61:Y67)</f>
        <v>0</v>
      </c>
      <c r="Z68" s="1597">
        <f t="shared" si="269"/>
        <v>0</v>
      </c>
      <c r="AA68" s="1597">
        <f t="shared" si="269"/>
        <v>0</v>
      </c>
      <c r="AB68" s="1597">
        <f t="shared" si="269"/>
        <v>0</v>
      </c>
      <c r="AC68" s="1597">
        <f t="shared" si="269"/>
        <v>0</v>
      </c>
      <c r="AD68" s="1597">
        <f t="shared" si="269"/>
        <v>0</v>
      </c>
      <c r="AE68" s="1597">
        <f t="shared" ref="AE68" si="274">SUM(AE61:AE67)</f>
        <v>0</v>
      </c>
      <c r="AF68" s="1597">
        <f t="shared" si="269"/>
        <v>0</v>
      </c>
      <c r="AG68" s="1597">
        <f t="shared" si="269"/>
        <v>0</v>
      </c>
      <c r="AH68" s="1597">
        <f t="shared" si="269"/>
        <v>0</v>
      </c>
      <c r="AI68" s="1597">
        <f t="shared" si="269"/>
        <v>0</v>
      </c>
      <c r="AJ68" s="1597">
        <f t="shared" si="269"/>
        <v>0</v>
      </c>
      <c r="AK68" s="1597">
        <f t="shared" ref="AK68:AN68" si="275">SUM(AK61:AK67)</f>
        <v>0</v>
      </c>
      <c r="AL68" s="1597">
        <f t="shared" si="275"/>
        <v>0</v>
      </c>
      <c r="AM68" s="1597">
        <f t="shared" si="275"/>
        <v>0</v>
      </c>
      <c r="AN68" s="1597">
        <f t="shared" si="275"/>
        <v>0</v>
      </c>
      <c r="AO68" s="1597">
        <f t="shared" ref="AO68:AX68" si="276">SUM(AO61:AO67)</f>
        <v>0</v>
      </c>
      <c r="AP68" s="1597">
        <f t="shared" si="276"/>
        <v>0</v>
      </c>
      <c r="AQ68" s="1597">
        <f t="shared" si="276"/>
        <v>0</v>
      </c>
      <c r="AR68" s="2272">
        <f t="shared" si="276"/>
        <v>0</v>
      </c>
      <c r="AS68" s="2272">
        <f t="shared" si="276"/>
        <v>0</v>
      </c>
      <c r="AT68" s="2272">
        <f t="shared" si="276"/>
        <v>0</v>
      </c>
      <c r="AU68" s="2272">
        <f t="shared" si="276"/>
        <v>0</v>
      </c>
      <c r="AV68" s="2272">
        <f t="shared" si="276"/>
        <v>0</v>
      </c>
      <c r="AW68" s="2272">
        <f t="shared" si="276"/>
        <v>0</v>
      </c>
      <c r="AX68" s="2272">
        <f t="shared" si="276"/>
        <v>0</v>
      </c>
      <c r="AY68" s="2272">
        <f t="shared" ref="AY68" si="277">SUM(AY61:AY67)</f>
        <v>0</v>
      </c>
      <c r="AZ68" s="1597">
        <f t="shared" ref="AZ68:BN68" si="278">SUM(AZ61:AZ67)</f>
        <v>0</v>
      </c>
      <c r="BA68" s="1597">
        <f t="shared" si="278"/>
        <v>0</v>
      </c>
      <c r="BB68" s="1597">
        <f t="shared" si="278"/>
        <v>0</v>
      </c>
      <c r="BC68" s="1597">
        <f t="shared" ref="BC68" si="279">SUM(BC61:BC67)</f>
        <v>0</v>
      </c>
      <c r="BD68" s="1597">
        <f>SUM(BD61:BD67)</f>
        <v>0</v>
      </c>
      <c r="BE68" s="1597">
        <f t="shared" si="278"/>
        <v>0</v>
      </c>
      <c r="BF68" s="1597">
        <f>SUM(BF61:BF67)</f>
        <v>0</v>
      </c>
      <c r="BG68" s="1597">
        <f t="shared" si="278"/>
        <v>0</v>
      </c>
      <c r="BH68" s="1597">
        <f>SUM(BH61:BH67)</f>
        <v>0</v>
      </c>
      <c r="BI68" s="1597">
        <f t="shared" si="278"/>
        <v>0</v>
      </c>
      <c r="BJ68" s="1597">
        <f>SUM(BJ61:BJ67)</f>
        <v>0</v>
      </c>
      <c r="BK68" s="1597">
        <f>SUM(BK61:BK67)</f>
        <v>0</v>
      </c>
      <c r="BL68" s="1597">
        <f t="shared" si="278"/>
        <v>0</v>
      </c>
      <c r="BM68" s="1597">
        <f t="shared" si="278"/>
        <v>0</v>
      </c>
      <c r="BN68" s="1597">
        <f t="shared" si="278"/>
        <v>0</v>
      </c>
      <c r="BO68" s="1597">
        <f t="shared" ref="BO68" si="280">SUM(BO61:BO67)</f>
        <v>0</v>
      </c>
      <c r="BP68" s="1597">
        <f>SUM(BP61:BP67)</f>
        <v>0</v>
      </c>
      <c r="BQ68" s="1597">
        <f t="shared" ref="BQ68" si="281">SUM(BQ61:BQ67)</f>
        <v>0</v>
      </c>
      <c r="BR68" s="1597">
        <f>SUM(BR61:BR67)</f>
        <v>0</v>
      </c>
      <c r="BS68" s="1597">
        <f t="shared" ref="BS68" si="282">SUM(BS61:BS67)</f>
        <v>0</v>
      </c>
      <c r="BT68" s="1597">
        <f>SUM(BT61:BT67)</f>
        <v>0</v>
      </c>
      <c r="BU68" s="1597">
        <f t="shared" ref="BU68" si="283">SUM(BU61:BU67)</f>
        <v>0</v>
      </c>
      <c r="BV68" s="1597">
        <f>SUM(BV61:BV67)</f>
        <v>0</v>
      </c>
      <c r="BW68" s="1597">
        <f>SUM(BW61:BW67)</f>
        <v>0</v>
      </c>
      <c r="BX68" s="1597">
        <f t="shared" ref="BX68:BZ68" si="284">SUM(BX61:BX67)</f>
        <v>0</v>
      </c>
      <c r="BY68" s="1597">
        <f t="shared" si="284"/>
        <v>0</v>
      </c>
      <c r="BZ68" s="1597">
        <f t="shared" si="284"/>
        <v>0</v>
      </c>
      <c r="CA68" s="1597">
        <f t="shared" ref="CA68:DD68" si="285">SUM(CA61:CA67)</f>
        <v>0</v>
      </c>
      <c r="CB68" s="1597">
        <f t="shared" si="285"/>
        <v>0</v>
      </c>
      <c r="CC68" s="1597">
        <f t="shared" si="285"/>
        <v>0</v>
      </c>
      <c r="CD68" s="1597">
        <f t="shared" ref="CD68" si="286">SUM(CD61:CD67)</f>
        <v>0</v>
      </c>
      <c r="CE68" s="1597">
        <f t="shared" si="285"/>
        <v>0</v>
      </c>
      <c r="CF68" s="1597">
        <f t="shared" ref="CF68:CG68" si="287">SUM(CF61:CF67)</f>
        <v>0</v>
      </c>
      <c r="CG68" s="1597">
        <f t="shared" si="287"/>
        <v>0</v>
      </c>
      <c r="CH68" s="1597">
        <f t="shared" si="285"/>
        <v>0</v>
      </c>
      <c r="CI68" s="1597">
        <f t="shared" si="285"/>
        <v>0</v>
      </c>
      <c r="CJ68" s="1597">
        <f t="shared" si="285"/>
        <v>0</v>
      </c>
      <c r="CK68" s="549">
        <f t="shared" si="285"/>
        <v>0</v>
      </c>
      <c r="CL68" s="549">
        <f t="shared" ref="CL68" si="288">SUM(CL61:CL67)</f>
        <v>0</v>
      </c>
      <c r="CM68" s="550">
        <f t="shared" si="285"/>
        <v>0</v>
      </c>
      <c r="CN68" s="550">
        <f t="shared" ref="CN68" si="289">SUM(CN61:CN67)</f>
        <v>0</v>
      </c>
      <c r="CO68" s="550">
        <f t="shared" ref="CO68:CQ68" si="290">SUM(CO61:CO67)</f>
        <v>0</v>
      </c>
      <c r="CP68" s="550">
        <f t="shared" ref="CP68" si="291">SUM(CP61:CP67)</f>
        <v>0</v>
      </c>
      <c r="CQ68" s="550">
        <f t="shared" si="290"/>
        <v>0</v>
      </c>
      <c r="CR68" s="550">
        <f t="shared" ref="CR68" si="292">SUM(CR61:CR67)</f>
        <v>0</v>
      </c>
      <c r="CS68" s="550">
        <f t="shared" si="285"/>
        <v>0</v>
      </c>
      <c r="CT68" s="550">
        <f t="shared" si="285"/>
        <v>0</v>
      </c>
      <c r="CU68" s="550">
        <f t="shared" si="285"/>
        <v>0</v>
      </c>
      <c r="CV68" s="1597">
        <f t="shared" si="285"/>
        <v>0</v>
      </c>
      <c r="CW68" s="1597">
        <f t="shared" si="285"/>
        <v>0</v>
      </c>
      <c r="CX68" s="549">
        <f t="shared" si="285"/>
        <v>0</v>
      </c>
      <c r="CY68" s="550">
        <f t="shared" si="285"/>
        <v>0</v>
      </c>
      <c r="CZ68" s="550">
        <f t="shared" si="285"/>
        <v>0</v>
      </c>
      <c r="DA68" s="550">
        <f t="shared" si="285"/>
        <v>0</v>
      </c>
      <c r="DB68" s="550">
        <f t="shared" si="285"/>
        <v>0</v>
      </c>
      <c r="DC68" s="1597">
        <f t="shared" si="285"/>
        <v>0</v>
      </c>
      <c r="DD68" s="1597">
        <f t="shared" si="285"/>
        <v>0</v>
      </c>
    </row>
    <row r="69" spans="1:134" ht="16">
      <c r="A69" s="551"/>
      <c r="B69" s="594" t="str">
        <f>"Indtast forventede refusioner år "&amp;budgetår+1</f>
        <v>Indtast forventede refusioner år 2027</v>
      </c>
      <c r="C69" s="545"/>
      <c r="D69" s="527"/>
      <c r="E69" s="528"/>
      <c r="F69" s="528"/>
      <c r="G69" s="528"/>
      <c r="H69" s="528"/>
      <c r="I69" s="528"/>
      <c r="J69" s="528"/>
      <c r="K69" s="528"/>
      <c r="L69" s="528"/>
      <c r="M69" s="528"/>
      <c r="N69" s="528"/>
      <c r="O69" s="528"/>
      <c r="P69" s="528"/>
      <c r="Q69" s="528"/>
      <c r="R69" s="528"/>
      <c r="S69" s="528"/>
      <c r="T69" s="528"/>
      <c r="U69" s="528"/>
      <c r="V69" s="528"/>
      <c r="W69" s="528"/>
      <c r="X69" s="528"/>
      <c r="Y69" s="528"/>
      <c r="Z69" s="528"/>
      <c r="AA69" s="528"/>
      <c r="AB69" s="528"/>
      <c r="AC69" s="528"/>
      <c r="AD69" s="528"/>
      <c r="AE69" s="528"/>
      <c r="AF69" s="528"/>
      <c r="AG69" s="528"/>
      <c r="AH69" s="528"/>
      <c r="AI69" s="528"/>
      <c r="AJ69" s="528"/>
      <c r="AK69" s="528"/>
      <c r="AL69" s="528"/>
      <c r="AM69" s="528"/>
      <c r="AN69" s="528"/>
      <c r="AO69" s="528"/>
      <c r="AP69" s="528"/>
      <c r="AQ69" s="528"/>
      <c r="AR69" s="528"/>
      <c r="AS69" s="528"/>
      <c r="AT69" s="528"/>
      <c r="AU69" s="528"/>
      <c r="AV69" s="528"/>
      <c r="AW69" s="528"/>
      <c r="AX69" s="528"/>
      <c r="AY69" s="528"/>
      <c r="AZ69" s="528"/>
      <c r="BA69" s="528"/>
      <c r="BB69" s="528"/>
      <c r="BC69" s="528"/>
      <c r="BD69" s="528"/>
      <c r="BE69" s="528"/>
      <c r="BF69" s="528"/>
      <c r="BG69" s="528"/>
      <c r="BH69" s="528"/>
      <c r="BI69" s="528"/>
      <c r="BJ69" s="528"/>
      <c r="BK69" s="528"/>
      <c r="BL69" s="528"/>
      <c r="BM69" s="528"/>
      <c r="BN69" s="528"/>
      <c r="BO69" s="528"/>
      <c r="BP69" s="528"/>
      <c r="BQ69" s="528"/>
      <c r="BR69" s="528"/>
      <c r="BS69" s="528"/>
      <c r="BT69" s="528"/>
      <c r="BU69" s="528"/>
      <c r="BV69" s="528"/>
      <c r="BW69" s="528"/>
      <c r="BX69" s="528"/>
      <c r="BY69" s="528"/>
      <c r="BZ69" s="528"/>
      <c r="CA69" s="528"/>
      <c r="CB69" s="528"/>
      <c r="CC69" s="528"/>
      <c r="CD69" s="528"/>
      <c r="CE69" s="528"/>
      <c r="CF69" s="528"/>
      <c r="CG69" s="528"/>
      <c r="CH69" s="528"/>
      <c r="CI69" s="528"/>
      <c r="CJ69" s="528"/>
      <c r="CK69" s="528"/>
      <c r="CL69" s="528"/>
      <c r="CM69" s="528"/>
      <c r="CN69" s="528"/>
      <c r="CO69" s="528"/>
      <c r="CP69" s="528"/>
      <c r="CQ69" s="528"/>
      <c r="CR69" s="528"/>
      <c r="CS69" s="528"/>
      <c r="CT69" s="528"/>
      <c r="CU69" s="528"/>
      <c r="CV69" s="528"/>
      <c r="CW69" s="528"/>
      <c r="CX69" s="528"/>
      <c r="CY69" s="528"/>
      <c r="CZ69" s="528"/>
      <c r="DA69" s="528"/>
      <c r="DB69" s="528"/>
      <c r="DC69" s="528"/>
      <c r="DD69" s="528"/>
      <c r="DN69" s="488"/>
      <c r="DO69" s="488"/>
      <c r="DS69" s="488"/>
      <c r="DT69" s="488"/>
      <c r="DU69" s="488"/>
      <c r="DV69" s="488"/>
      <c r="DW69" s="488"/>
      <c r="DX69" s="488"/>
      <c r="DY69" s="488"/>
      <c r="DZ69" s="488"/>
      <c r="EA69" s="488"/>
    </row>
    <row r="70" spans="1:134" ht="14" thickBot="1">
      <c r="A70" s="552"/>
      <c r="B70" s="539"/>
      <c r="C70" s="1598" t="str">
        <f>"I alt pr år til hovedskema "&amp;budgetår</f>
        <v>I alt pr år til hovedskema 2026</v>
      </c>
      <c r="D70" s="595" t="str">
        <f>"I alt pr år til hovedskema "&amp;budgetår</f>
        <v>I alt pr år til hovedskema 2026</v>
      </c>
      <c r="E70" s="595"/>
      <c r="F70" s="595"/>
      <c r="G70" s="595"/>
      <c r="H70" s="595"/>
      <c r="I70" s="595"/>
      <c r="J70" s="595"/>
      <c r="K70" s="595"/>
      <c r="L70" s="595"/>
      <c r="M70" s="595"/>
      <c r="N70" s="595"/>
      <c r="O70" s="595"/>
      <c r="P70" s="595"/>
      <c r="Q70" s="595"/>
      <c r="R70" s="596"/>
      <c r="S70" s="596"/>
      <c r="T70" s="596"/>
      <c r="U70" s="596"/>
      <c r="V70" s="596"/>
      <c r="W70" s="596">
        <f>SUM(C68:W68)</f>
        <v>0</v>
      </c>
      <c r="X70" s="817" t="str">
        <f>"I alt pr år til hovedskema "&amp;budgetår</f>
        <v>I alt pr år til hovedskema 2026</v>
      </c>
      <c r="Y70" s="817" t="str">
        <f>"I alt pr år til hovedskema "&amp;budgetår</f>
        <v>I alt pr år til hovedskema 2026</v>
      </c>
      <c r="Z70" s="817" t="str">
        <f>"I alt pr år til hovedskema "&amp;budgetår</f>
        <v>I alt pr år til hovedskema 2026</v>
      </c>
      <c r="AA70" s="595"/>
      <c r="AB70" s="595"/>
      <c r="AC70" s="595"/>
      <c r="AD70" s="595"/>
      <c r="AE70" s="595"/>
      <c r="AF70" s="595"/>
      <c r="AG70" s="595"/>
      <c r="AH70" s="595"/>
      <c r="AI70" s="595"/>
      <c r="AJ70" s="595"/>
      <c r="AK70" s="595"/>
      <c r="AL70" s="595"/>
      <c r="AM70" s="595"/>
      <c r="AN70" s="595"/>
      <c r="AO70" s="595"/>
      <c r="AP70" s="595"/>
      <c r="AQ70" s="595"/>
      <c r="AR70" s="595"/>
      <c r="AS70" s="595"/>
      <c r="AT70" s="595"/>
      <c r="AU70" s="595"/>
      <c r="AV70" s="595"/>
      <c r="AW70" s="595"/>
      <c r="AX70" s="595"/>
      <c r="AY70" s="595"/>
      <c r="AZ70" s="596"/>
      <c r="BA70" s="596">
        <f>SUM(X68:BA68)</f>
        <v>0</v>
      </c>
      <c r="BB70" s="595" t="s">
        <v>672</v>
      </c>
      <c r="BC70" s="595" t="s">
        <v>672</v>
      </c>
      <c r="BD70" s="595" t="s">
        <v>672</v>
      </c>
      <c r="BE70" s="595"/>
      <c r="BF70" s="595"/>
      <c r="BG70" s="595"/>
      <c r="BH70" s="595"/>
      <c r="BI70" s="595"/>
      <c r="BJ70" s="595"/>
      <c r="BK70" s="595"/>
      <c r="BL70" s="595"/>
      <c r="BM70" s="596"/>
      <c r="BN70" s="596">
        <f>SUM(BB68:BN68)</f>
        <v>0</v>
      </c>
      <c r="BO70" s="595" t="s">
        <v>672</v>
      </c>
      <c r="BP70" s="595" t="s">
        <v>672</v>
      </c>
      <c r="BQ70" s="595"/>
      <c r="BR70" s="595"/>
      <c r="BS70" s="595"/>
      <c r="BT70" s="595"/>
      <c r="BU70" s="595"/>
      <c r="BV70" s="595"/>
      <c r="BW70" s="595"/>
      <c r="BX70" s="595"/>
      <c r="BY70" s="596"/>
      <c r="BZ70" s="596">
        <f>SUM(BO68:BZ68)</f>
        <v>0</v>
      </c>
      <c r="CA70" s="595" t="str">
        <f>"I alt pr år til hovedskema "&amp;budgetår</f>
        <v>I alt pr år til hovedskema 2026</v>
      </c>
      <c r="CB70" s="595"/>
      <c r="CC70" s="595"/>
      <c r="CD70" s="595"/>
      <c r="CE70" s="595"/>
      <c r="CF70" s="595"/>
      <c r="CG70" s="595"/>
      <c r="CH70" s="595"/>
      <c r="CI70" s="596"/>
      <c r="CJ70" s="596">
        <f>SUM(CA68:CJ68)</f>
        <v>0</v>
      </c>
      <c r="CK70" s="595" t="str">
        <f>"I alt pr år til hovedskema "&amp;budgetår</f>
        <v>I alt pr år til hovedskema 2026</v>
      </c>
      <c r="CL70" s="595" t="str">
        <f>"I alt pr år til hovedskema "&amp;budgetår</f>
        <v>I alt pr år til hovedskema 2026</v>
      </c>
      <c r="CM70" s="597"/>
      <c r="CN70" s="597"/>
      <c r="CO70" s="598"/>
      <c r="CP70" s="598"/>
      <c r="CQ70" s="598"/>
      <c r="CR70" s="598"/>
      <c r="CS70" s="598"/>
      <c r="CT70" s="598"/>
      <c r="CU70" s="597"/>
      <c r="CV70" s="596"/>
      <c r="CW70" s="596">
        <f>SUM(CK68:CW68)</f>
        <v>0</v>
      </c>
      <c r="CX70" s="595" t="str">
        <f>"I alt pr år til hovedskema "&amp;budgetår</f>
        <v>I alt pr år til hovedskema 2026</v>
      </c>
      <c r="CY70" s="597"/>
      <c r="CZ70" s="597"/>
      <c r="DA70" s="598"/>
      <c r="DB70" s="598"/>
      <c r="DC70" s="596"/>
      <c r="DD70" s="596">
        <f>SUM(CX68:DD68)</f>
        <v>0</v>
      </c>
      <c r="EB70" s="488"/>
      <c r="EC70" s="488"/>
      <c r="ED70" s="488"/>
    </row>
    <row r="71" spans="1:134" s="488" customFormat="1">
      <c r="A71" s="553"/>
      <c r="B71" s="554"/>
      <c r="C71" s="555"/>
      <c r="D71" s="554"/>
      <c r="E71" s="554"/>
      <c r="F71" s="554"/>
      <c r="G71" s="554"/>
      <c r="H71" s="554"/>
      <c r="I71" s="554"/>
      <c r="J71" s="554"/>
      <c r="K71" s="554"/>
      <c r="L71" s="554"/>
      <c r="M71" s="554"/>
      <c r="N71" s="554"/>
      <c r="O71" s="554"/>
      <c r="P71" s="554"/>
      <c r="Q71" s="554"/>
      <c r="R71" s="554"/>
      <c r="S71" s="554"/>
      <c r="T71" s="554"/>
      <c r="U71" s="554"/>
      <c r="V71" s="554"/>
      <c r="W71" s="554"/>
      <c r="X71" s="554"/>
      <c r="Y71" s="554"/>
      <c r="Z71" s="554"/>
      <c r="AA71" s="554"/>
      <c r="AB71" s="554"/>
      <c r="AC71" s="554"/>
      <c r="AD71" s="554"/>
      <c r="AE71" s="554"/>
      <c r="AF71" s="554"/>
      <c r="AG71" s="554"/>
      <c r="AH71" s="554"/>
      <c r="AI71" s="554"/>
      <c r="AJ71" s="554"/>
      <c r="AK71" s="554"/>
      <c r="AL71" s="554"/>
      <c r="AM71" s="554"/>
      <c r="AN71" s="554"/>
      <c r="AO71" s="554"/>
      <c r="AP71" s="554"/>
      <c r="AQ71" s="554"/>
      <c r="AR71" s="554"/>
      <c r="AS71" s="554"/>
      <c r="AT71" s="554"/>
      <c r="AU71" s="554"/>
      <c r="AV71" s="554"/>
      <c r="AW71" s="554"/>
      <c r="AX71" s="554"/>
      <c r="AY71" s="554"/>
      <c r="AZ71" s="554"/>
      <c r="BA71" s="554"/>
      <c r="BB71" s="554"/>
      <c r="BC71" s="554"/>
      <c r="BD71" s="554"/>
      <c r="BE71" s="554"/>
      <c r="BF71" s="554"/>
      <c r="BG71" s="554"/>
      <c r="BH71" s="554"/>
      <c r="BI71" s="554"/>
      <c r="BJ71" s="554"/>
      <c r="BK71" s="554"/>
      <c r="BL71" s="554"/>
      <c r="BM71" s="554"/>
      <c r="BN71" s="554"/>
      <c r="BO71" s="554"/>
      <c r="BP71" s="554"/>
      <c r="BQ71" s="554"/>
      <c r="BR71" s="554"/>
      <c r="BS71" s="554"/>
      <c r="BT71" s="554"/>
      <c r="BU71" s="554"/>
      <c r="BV71" s="554"/>
      <c r="BW71" s="554"/>
      <c r="BX71" s="554"/>
      <c r="BY71" s="554"/>
      <c r="BZ71" s="554"/>
      <c r="CA71" s="554"/>
      <c r="CB71" s="554"/>
      <c r="CC71" s="554"/>
      <c r="CD71" s="554"/>
      <c r="CE71" s="554"/>
      <c r="CF71" s="554"/>
      <c r="CG71" s="554"/>
      <c r="CH71" s="554"/>
      <c r="CI71" s="554"/>
      <c r="CJ71" s="554"/>
      <c r="CK71" s="554"/>
      <c r="CL71" s="554"/>
      <c r="CM71" s="554"/>
      <c r="CN71" s="554"/>
      <c r="CO71" s="554"/>
      <c r="CP71" s="554"/>
      <c r="CQ71" s="554"/>
      <c r="CR71" s="554"/>
      <c r="CS71" s="554"/>
      <c r="CT71" s="554"/>
      <c r="CU71" s="554"/>
      <c r="CV71" s="554"/>
      <c r="CW71" s="554"/>
      <c r="CX71" s="554"/>
      <c r="CY71" s="554"/>
      <c r="CZ71" s="554"/>
      <c r="DA71" s="554"/>
      <c r="DB71" s="554"/>
      <c r="DC71" s="554"/>
      <c r="DD71" s="554"/>
      <c r="DJ71" s="62"/>
      <c r="DK71" s="62"/>
      <c r="DL71" s="62"/>
      <c r="DM71" s="62"/>
      <c r="DN71" s="62"/>
      <c r="DO71" s="62"/>
      <c r="DP71" s="62"/>
      <c r="DQ71" s="62"/>
      <c r="DR71" s="62"/>
      <c r="DS71" s="62"/>
      <c r="DT71" s="62"/>
      <c r="DU71" s="62"/>
      <c r="DV71" s="62"/>
      <c r="DW71" s="62"/>
      <c r="DX71" s="62"/>
      <c r="DY71" s="62"/>
      <c r="DZ71" s="62"/>
      <c r="EA71" s="62"/>
      <c r="EB71" s="62"/>
      <c r="EC71" s="62"/>
      <c r="ED71" s="62"/>
    </row>
    <row r="72" spans="1:134" ht="37" customHeight="1">
      <c r="A72" s="3137" t="s">
        <v>673</v>
      </c>
      <c r="B72" s="3138"/>
      <c r="C72" s="3138"/>
      <c r="D72" s="3138"/>
      <c r="E72" s="3138"/>
      <c r="F72" s="3138"/>
      <c r="G72" s="3138"/>
      <c r="H72" s="3138"/>
      <c r="I72" s="3138"/>
      <c r="J72" s="3138"/>
      <c r="K72" s="3138"/>
      <c r="L72" s="3138"/>
      <c r="M72" s="3138"/>
      <c r="N72" s="3138"/>
      <c r="O72" s="3138"/>
      <c r="P72" s="3138"/>
      <c r="Q72" s="3138"/>
      <c r="R72" s="3138"/>
      <c r="S72" s="3138"/>
      <c r="T72" s="3138"/>
      <c r="U72" s="3138"/>
      <c r="V72" s="3138"/>
      <c r="W72" s="3138"/>
      <c r="X72" s="3138"/>
      <c r="Y72" s="3138"/>
      <c r="Z72" s="3138"/>
      <c r="AA72" s="3138"/>
      <c r="AB72" s="3138"/>
      <c r="AC72" s="3138"/>
      <c r="AD72" s="3138"/>
      <c r="AE72" s="3138"/>
      <c r="AF72" s="3138"/>
      <c r="AG72" s="3138"/>
      <c r="AH72" s="3138"/>
      <c r="AI72" s="3138"/>
      <c r="AJ72" s="3138"/>
      <c r="AK72" s="3138"/>
      <c r="AL72" s="3138"/>
      <c r="AM72" s="3138"/>
      <c r="AN72" s="3138"/>
      <c r="AO72" s="3138"/>
      <c r="AP72" s="3138"/>
      <c r="AQ72" s="3138"/>
      <c r="AR72" s="3138"/>
      <c r="AS72" s="3138"/>
      <c r="AT72" s="3138"/>
      <c r="AU72" s="3138"/>
      <c r="AV72" s="3138"/>
      <c r="AW72" s="3138"/>
      <c r="AX72" s="3138"/>
      <c r="AY72" s="3138"/>
      <c r="AZ72" s="3138"/>
      <c r="BA72" s="3138"/>
      <c r="BB72" s="3138"/>
      <c r="BC72" s="3138"/>
      <c r="BD72" s="3138"/>
      <c r="BE72" s="3138"/>
      <c r="BF72" s="3138"/>
      <c r="BG72" s="3138"/>
      <c r="BH72" s="3138"/>
      <c r="BI72" s="3138"/>
      <c r="BJ72" s="3138"/>
      <c r="BK72" s="3138"/>
      <c r="BL72" s="3138"/>
      <c r="BM72" s="3138"/>
      <c r="BN72" s="3138"/>
      <c r="BO72" s="3138"/>
      <c r="BP72" s="3138"/>
      <c r="BQ72" s="3138"/>
      <c r="BR72" s="3138"/>
      <c r="BS72" s="3138"/>
      <c r="BT72" s="3138"/>
      <c r="BU72" s="3138"/>
      <c r="BV72" s="3138"/>
      <c r="BW72" s="3138"/>
      <c r="BX72" s="3138"/>
      <c r="BY72" s="3138"/>
      <c r="BZ72" s="3138"/>
      <c r="CA72" s="3138"/>
      <c r="CB72" s="3138"/>
      <c r="CC72" s="3138"/>
      <c r="CD72" s="3138"/>
      <c r="CE72" s="3138"/>
      <c r="CF72" s="3138"/>
      <c r="CG72" s="3138"/>
      <c r="CH72" s="3138"/>
      <c r="CI72" s="3138"/>
      <c r="CJ72" s="3138"/>
      <c r="CK72" s="3138"/>
      <c r="CL72" s="3138"/>
      <c r="CM72" s="3138"/>
      <c r="CN72" s="3138"/>
      <c r="CO72" s="3138"/>
      <c r="CP72" s="3138"/>
      <c r="CQ72" s="3138"/>
      <c r="CR72" s="3138"/>
      <c r="CS72" s="3138"/>
      <c r="CT72" s="3138"/>
      <c r="CU72" s="3138"/>
      <c r="CV72" s="3138"/>
      <c r="CW72" s="3138"/>
      <c r="CX72" s="3138"/>
      <c r="CY72" s="3138"/>
      <c r="CZ72" s="3138"/>
      <c r="DA72" s="3138"/>
      <c r="DB72" s="3138"/>
      <c r="DC72" s="3138"/>
      <c r="DD72" s="3138"/>
    </row>
    <row r="73" spans="1:134" ht="58" customHeight="1" thickBot="1">
      <c r="A73" s="3130" t="s">
        <v>536</v>
      </c>
      <c r="B73" s="3131"/>
      <c r="C73" s="1599">
        <v>1</v>
      </c>
      <c r="D73" s="1599">
        <v>1</v>
      </c>
      <c r="E73" s="1599">
        <v>1</v>
      </c>
      <c r="F73" s="1599">
        <v>1</v>
      </c>
      <c r="G73" s="1599">
        <v>1</v>
      </c>
      <c r="H73" s="1599">
        <v>1</v>
      </c>
      <c r="I73" s="1599">
        <v>1</v>
      </c>
      <c r="J73" s="1599">
        <v>1</v>
      </c>
      <c r="K73" s="1599">
        <v>1</v>
      </c>
      <c r="L73" s="1599">
        <v>1</v>
      </c>
      <c r="M73" s="1599">
        <v>1</v>
      </c>
      <c r="N73" s="1599">
        <v>1</v>
      </c>
      <c r="O73" s="1599">
        <v>1</v>
      </c>
      <c r="P73" s="1599">
        <v>1</v>
      </c>
      <c r="Q73" s="1599">
        <v>1</v>
      </c>
      <c r="R73" s="1599">
        <v>1</v>
      </c>
      <c r="S73" s="1599">
        <v>0.5</v>
      </c>
      <c r="T73" s="1599">
        <v>1</v>
      </c>
      <c r="U73" s="1599">
        <v>1</v>
      </c>
      <c r="V73" s="1599">
        <v>1</v>
      </c>
      <c r="W73" s="1599">
        <v>1</v>
      </c>
      <c r="X73" s="1599">
        <v>1</v>
      </c>
      <c r="Y73" s="1599">
        <v>1</v>
      </c>
      <c r="Z73" s="1599">
        <v>1</v>
      </c>
      <c r="AA73" s="1599">
        <v>1</v>
      </c>
      <c r="AB73" s="1599">
        <v>1</v>
      </c>
      <c r="AC73" s="1599">
        <v>1</v>
      </c>
      <c r="AD73" s="1599">
        <v>1</v>
      </c>
      <c r="AE73" s="1599">
        <v>1</v>
      </c>
      <c r="AF73" s="1599">
        <v>1</v>
      </c>
      <c r="AG73" s="1599">
        <v>1</v>
      </c>
      <c r="AH73" s="1599">
        <v>1</v>
      </c>
      <c r="AI73" s="1599">
        <v>1</v>
      </c>
      <c r="AJ73" s="1599">
        <v>1</v>
      </c>
      <c r="AK73" s="1599">
        <v>1</v>
      </c>
      <c r="AL73" s="1599">
        <v>1</v>
      </c>
      <c r="AM73" s="1599">
        <v>1</v>
      </c>
      <c r="AN73" s="1599">
        <v>1</v>
      </c>
      <c r="AO73" s="1599">
        <v>1</v>
      </c>
      <c r="AP73" s="1599">
        <v>1</v>
      </c>
      <c r="AQ73" s="1599">
        <v>1</v>
      </c>
      <c r="AR73" s="2273">
        <v>1</v>
      </c>
      <c r="AS73" s="2273">
        <v>1</v>
      </c>
      <c r="AT73" s="2273">
        <v>1</v>
      </c>
      <c r="AU73" s="2273">
        <v>1</v>
      </c>
      <c r="AV73" s="2273">
        <v>1</v>
      </c>
      <c r="AW73" s="2273">
        <v>1</v>
      </c>
      <c r="AX73" s="2273">
        <v>1</v>
      </c>
      <c r="AY73" s="2273">
        <v>1</v>
      </c>
      <c r="AZ73" s="1599">
        <v>1</v>
      </c>
      <c r="BA73" s="1599">
        <v>1</v>
      </c>
      <c r="BB73" s="1599">
        <v>1</v>
      </c>
      <c r="BC73" s="1599">
        <v>1</v>
      </c>
      <c r="BD73" s="1599">
        <v>1</v>
      </c>
      <c r="BE73" s="1599">
        <v>1</v>
      </c>
      <c r="BF73" s="1599">
        <v>1</v>
      </c>
      <c r="BG73" s="1599">
        <v>1</v>
      </c>
      <c r="BH73" s="1599">
        <v>1</v>
      </c>
      <c r="BI73" s="1599">
        <v>1</v>
      </c>
      <c r="BJ73" s="1599">
        <v>1</v>
      </c>
      <c r="BK73" s="1599">
        <v>1</v>
      </c>
      <c r="BL73" s="1599">
        <v>1</v>
      </c>
      <c r="BM73" s="1599">
        <v>1</v>
      </c>
      <c r="BN73" s="1599">
        <v>1</v>
      </c>
      <c r="BO73" s="1599">
        <v>1</v>
      </c>
      <c r="BP73" s="1599">
        <v>1</v>
      </c>
      <c r="BQ73" s="1599">
        <v>1</v>
      </c>
      <c r="BR73" s="1599">
        <v>1</v>
      </c>
      <c r="BS73" s="1599">
        <v>1</v>
      </c>
      <c r="BT73" s="1599">
        <v>1</v>
      </c>
      <c r="BU73" s="1599">
        <v>1</v>
      </c>
      <c r="BV73" s="1599">
        <v>1</v>
      </c>
      <c r="BW73" s="1599">
        <v>1</v>
      </c>
      <c r="BX73" s="1599">
        <v>1</v>
      </c>
      <c r="BY73" s="1599">
        <v>1</v>
      </c>
      <c r="BZ73" s="1599">
        <v>1</v>
      </c>
      <c r="CA73" s="2244">
        <v>1</v>
      </c>
      <c r="CB73" s="1599">
        <v>1</v>
      </c>
      <c r="CC73" s="1599">
        <v>1</v>
      </c>
      <c r="CD73" s="1599">
        <v>1</v>
      </c>
      <c r="CE73" s="1599">
        <v>1</v>
      </c>
      <c r="CF73" s="1599">
        <v>1</v>
      </c>
      <c r="CG73" s="1599">
        <v>1</v>
      </c>
      <c r="CH73" s="1599">
        <v>1</v>
      </c>
      <c r="CI73" s="1599">
        <v>1</v>
      </c>
      <c r="CJ73" s="1599">
        <v>1</v>
      </c>
      <c r="CK73" s="1599">
        <v>1</v>
      </c>
      <c r="CL73" s="1600">
        <v>1</v>
      </c>
      <c r="CM73" s="1599">
        <v>1</v>
      </c>
      <c r="CN73" s="1599">
        <v>1</v>
      </c>
      <c r="CO73" s="1599">
        <v>1</v>
      </c>
      <c r="CP73" s="1599">
        <v>1</v>
      </c>
      <c r="CQ73" s="1599">
        <v>1</v>
      </c>
      <c r="CR73" s="1599">
        <v>1</v>
      </c>
      <c r="CS73" s="1599">
        <v>1</v>
      </c>
      <c r="CT73" s="1599">
        <v>1</v>
      </c>
      <c r="CU73" s="1599">
        <v>1</v>
      </c>
      <c r="CV73" s="1599">
        <v>1</v>
      </c>
      <c r="CW73" s="1599">
        <v>1</v>
      </c>
      <c r="CX73" s="1599">
        <v>1</v>
      </c>
      <c r="CY73" s="1599">
        <v>1</v>
      </c>
      <c r="CZ73" s="1599">
        <v>1</v>
      </c>
      <c r="DA73" s="1599">
        <v>1</v>
      </c>
      <c r="DB73" s="1599">
        <v>1</v>
      </c>
      <c r="DC73" s="1599">
        <v>1</v>
      </c>
      <c r="DD73" s="1599">
        <v>1</v>
      </c>
      <c r="DF73" s="3109"/>
      <c r="DG73" s="3109"/>
    </row>
    <row r="74" spans="1:134" ht="25" hidden="1" customHeight="1">
      <c r="A74" s="1345"/>
      <c r="B74" s="1346" t="str">
        <f>'lon undervisning'!B87</f>
        <v xml:space="preserve">Ferieberettiget løn pr. 31. december 2023. DET ER VIGTIGT DER OPLYSES EN HEL MÅNEDS LØN. (hvis ikke der sker ændring i lønnen kan lønnen aflæses allerede i september/oktober mdr.) </v>
      </c>
      <c r="C74" s="1347">
        <f t="shared" ref="C74:U74" si="293">C42/C22*Prc</f>
        <v>0</v>
      </c>
      <c r="D74" s="1347">
        <f t="shared" si="293"/>
        <v>0</v>
      </c>
      <c r="E74" s="1347">
        <f t="shared" si="293"/>
        <v>0</v>
      </c>
      <c r="F74" s="1347">
        <f t="shared" ref="F74" si="294">F42/F22*Prc</f>
        <v>0</v>
      </c>
      <c r="G74" s="1347">
        <f t="shared" si="293"/>
        <v>0</v>
      </c>
      <c r="H74" s="1347">
        <f t="shared" si="293"/>
        <v>0</v>
      </c>
      <c r="I74" s="1347">
        <f t="shared" ref="I74" si="295">I42/I22*Prc</f>
        <v>0</v>
      </c>
      <c r="J74" s="1347">
        <f t="shared" si="293"/>
        <v>0</v>
      </c>
      <c r="K74" s="1347">
        <f t="shared" si="293"/>
        <v>0</v>
      </c>
      <c r="L74" s="1347">
        <f t="shared" si="293"/>
        <v>0</v>
      </c>
      <c r="M74" s="1347">
        <f t="shared" si="293"/>
        <v>0</v>
      </c>
      <c r="N74" s="1347">
        <f t="shared" si="293"/>
        <v>0</v>
      </c>
      <c r="O74" s="1347">
        <f t="shared" si="293"/>
        <v>0</v>
      </c>
      <c r="P74" s="1347">
        <f t="shared" si="293"/>
        <v>0</v>
      </c>
      <c r="Q74" s="1347">
        <f t="shared" si="293"/>
        <v>0</v>
      </c>
      <c r="R74" s="1347">
        <f t="shared" si="293"/>
        <v>0</v>
      </c>
      <c r="S74" s="1347">
        <f t="shared" si="293"/>
        <v>0</v>
      </c>
      <c r="T74" s="1347">
        <f t="shared" si="293"/>
        <v>0</v>
      </c>
      <c r="U74" s="1347">
        <f t="shared" si="293"/>
        <v>0</v>
      </c>
      <c r="V74" s="1348"/>
      <c r="W74" s="1348"/>
      <c r="X74" s="1347">
        <f t="shared" ref="X74:AJ74" si="296">X42/X22*Prc</f>
        <v>0</v>
      </c>
      <c r="Y74" s="1347">
        <f t="shared" ref="Y74" si="297">Y42/Y22*Prc</f>
        <v>0</v>
      </c>
      <c r="Z74" s="1347">
        <f t="shared" si="296"/>
        <v>0</v>
      </c>
      <c r="AA74" s="1347">
        <f t="shared" si="296"/>
        <v>0</v>
      </c>
      <c r="AB74" s="1347">
        <f t="shared" si="296"/>
        <v>0</v>
      </c>
      <c r="AC74" s="1347">
        <f t="shared" si="296"/>
        <v>0</v>
      </c>
      <c r="AD74" s="1347">
        <f t="shared" si="296"/>
        <v>0</v>
      </c>
      <c r="AE74" s="1347">
        <f t="shared" ref="AE74" si="298">AE42/AE22*Prc</f>
        <v>0</v>
      </c>
      <c r="AF74" s="1347">
        <f t="shared" si="296"/>
        <v>0</v>
      </c>
      <c r="AG74" s="1347">
        <f t="shared" si="296"/>
        <v>0</v>
      </c>
      <c r="AH74" s="1347">
        <f t="shared" si="296"/>
        <v>0</v>
      </c>
      <c r="AI74" s="1347">
        <f t="shared" si="296"/>
        <v>0</v>
      </c>
      <c r="AJ74" s="1347">
        <f t="shared" si="296"/>
        <v>0</v>
      </c>
      <c r="AK74" s="1347">
        <f t="shared" ref="AK74:AN74" si="299">AK42/AK22*Prc</f>
        <v>0</v>
      </c>
      <c r="AL74" s="1347">
        <f t="shared" si="299"/>
        <v>0</v>
      </c>
      <c r="AM74" s="1347">
        <f t="shared" si="299"/>
        <v>0</v>
      </c>
      <c r="AN74" s="1347">
        <f t="shared" si="299"/>
        <v>0</v>
      </c>
      <c r="AO74" s="1347">
        <f t="shared" ref="AO74:AQ74" si="300">AO42/AO22*Prc</f>
        <v>0</v>
      </c>
      <c r="AP74" s="1347">
        <f t="shared" si="300"/>
        <v>0</v>
      </c>
      <c r="AQ74" s="1347">
        <f t="shared" si="300"/>
        <v>0</v>
      </c>
      <c r="AR74" s="2274">
        <f t="shared" ref="AR74:AU74" si="301">AR42/AR22*Prc</f>
        <v>0</v>
      </c>
      <c r="AS74" s="2274">
        <f t="shared" si="301"/>
        <v>0</v>
      </c>
      <c r="AT74" s="2274">
        <f t="shared" ref="AT74" si="302">AT42/AT22*Prc</f>
        <v>0</v>
      </c>
      <c r="AU74" s="2274">
        <f t="shared" si="301"/>
        <v>0</v>
      </c>
      <c r="AV74" s="2274">
        <f t="shared" ref="AV74:AW74" si="303">AV42/AV22*Prc</f>
        <v>0</v>
      </c>
      <c r="AW74" s="2274">
        <f t="shared" si="303"/>
        <v>0</v>
      </c>
      <c r="AX74" s="2274">
        <f t="shared" ref="AX74" si="304">AX42/AX22*Prc</f>
        <v>0</v>
      </c>
      <c r="AY74" s="2274">
        <f t="shared" ref="AY74" si="305">AY42/AY22*Prc</f>
        <v>0</v>
      </c>
      <c r="AZ74" s="1601"/>
      <c r="BA74" s="1601"/>
      <c r="BB74" s="1347">
        <f t="shared" ref="BB74:BL74" si="306">BB42/BB22*Prc</f>
        <v>0</v>
      </c>
      <c r="BC74" s="1347">
        <f t="shared" ref="BC74" si="307">BC42/BC22*Prc</f>
        <v>0</v>
      </c>
      <c r="BD74" s="1347">
        <f t="shared" si="306"/>
        <v>0</v>
      </c>
      <c r="BE74" s="1347">
        <f t="shared" si="306"/>
        <v>0</v>
      </c>
      <c r="BF74" s="1347">
        <f t="shared" si="306"/>
        <v>0</v>
      </c>
      <c r="BG74" s="1347">
        <f t="shared" si="306"/>
        <v>0</v>
      </c>
      <c r="BH74" s="1347">
        <f t="shared" si="306"/>
        <v>0</v>
      </c>
      <c r="BI74" s="1347">
        <f t="shared" si="306"/>
        <v>0</v>
      </c>
      <c r="BJ74" s="1347">
        <f t="shared" si="306"/>
        <v>0</v>
      </c>
      <c r="BK74" s="1347">
        <f t="shared" si="306"/>
        <v>0</v>
      </c>
      <c r="BL74" s="1347">
        <f t="shared" si="306"/>
        <v>0</v>
      </c>
      <c r="BM74" s="1601"/>
      <c r="BN74" s="1601"/>
      <c r="BO74" s="1347">
        <f t="shared" ref="BO74:BX74" si="308">BO42/BO22*Prc</f>
        <v>0</v>
      </c>
      <c r="BP74" s="1347">
        <f t="shared" si="308"/>
        <v>0</v>
      </c>
      <c r="BQ74" s="1347">
        <f t="shared" si="308"/>
        <v>0</v>
      </c>
      <c r="BR74" s="1347">
        <f t="shared" si="308"/>
        <v>0</v>
      </c>
      <c r="BS74" s="1347">
        <f t="shared" si="308"/>
        <v>0</v>
      </c>
      <c r="BT74" s="1347">
        <f t="shared" si="308"/>
        <v>0</v>
      </c>
      <c r="BU74" s="1347">
        <f t="shared" si="308"/>
        <v>0</v>
      </c>
      <c r="BV74" s="1347">
        <f t="shared" si="308"/>
        <v>0</v>
      </c>
      <c r="BW74" s="1347">
        <f t="shared" si="308"/>
        <v>0</v>
      </c>
      <c r="BX74" s="1347">
        <f t="shared" si="308"/>
        <v>0</v>
      </c>
      <c r="BY74" s="1601"/>
      <c r="BZ74" s="1601"/>
      <c r="CA74" s="1356">
        <f t="shared" ref="CA74:CH74" si="309">CA42/CA22*Prc</f>
        <v>0</v>
      </c>
      <c r="CB74" s="1347">
        <f t="shared" si="309"/>
        <v>0</v>
      </c>
      <c r="CC74" s="1347">
        <f t="shared" si="309"/>
        <v>0</v>
      </c>
      <c r="CD74" s="1347">
        <f t="shared" si="309"/>
        <v>0</v>
      </c>
      <c r="CE74" s="1347">
        <f t="shared" si="309"/>
        <v>0</v>
      </c>
      <c r="CF74" s="1347">
        <f t="shared" si="309"/>
        <v>0</v>
      </c>
      <c r="CG74" s="1347">
        <f t="shared" si="309"/>
        <v>0</v>
      </c>
      <c r="CH74" s="1347">
        <f t="shared" si="309"/>
        <v>0</v>
      </c>
      <c r="CI74" s="1348"/>
      <c r="CJ74" s="1348"/>
      <c r="CK74" s="1347">
        <f t="shared" ref="CK74:CU74" si="310">CK42/CK22*Prc</f>
        <v>0</v>
      </c>
      <c r="CL74" s="1356">
        <f t="shared" si="310"/>
        <v>0</v>
      </c>
      <c r="CM74" s="1347">
        <f t="shared" si="310"/>
        <v>0</v>
      </c>
      <c r="CN74" s="1347">
        <f t="shared" si="310"/>
        <v>0</v>
      </c>
      <c r="CO74" s="1347">
        <f t="shared" si="310"/>
        <v>0</v>
      </c>
      <c r="CP74" s="1347">
        <f t="shared" si="310"/>
        <v>0</v>
      </c>
      <c r="CQ74" s="1347">
        <f t="shared" si="310"/>
        <v>0</v>
      </c>
      <c r="CR74" s="1347">
        <f t="shared" si="310"/>
        <v>0</v>
      </c>
      <c r="CS74" s="1347">
        <f t="shared" si="310"/>
        <v>0</v>
      </c>
      <c r="CT74" s="1347">
        <f t="shared" si="310"/>
        <v>0</v>
      </c>
      <c r="CU74" s="1347">
        <f t="shared" si="310"/>
        <v>0</v>
      </c>
      <c r="CV74" s="1348"/>
      <c r="CW74" s="1348"/>
      <c r="CX74" s="1347">
        <f>CX42/CX22*Prc</f>
        <v>0</v>
      </c>
      <c r="CY74" s="1347">
        <f>CY42/CY22*Prc</f>
        <v>0</v>
      </c>
      <c r="CZ74" s="1347">
        <f>CZ42/CZ22*Prc</f>
        <v>0</v>
      </c>
      <c r="DA74" s="1347">
        <f>DA42/DA22*Prc</f>
        <v>0</v>
      </c>
      <c r="DB74" s="1347">
        <f>DB42/DB22*Prc</f>
        <v>0</v>
      </c>
      <c r="DC74" s="1601"/>
      <c r="DD74" s="1601"/>
      <c r="DF74" s="481"/>
      <c r="DG74" s="486"/>
    </row>
    <row r="75" spans="1:134" ht="43" hidden="1" customHeight="1" thickBot="1">
      <c r="A75" s="1349"/>
      <c r="B75" s="1602" t="str">
        <f>'lon undervisning'!B88</f>
        <v>100% pensionsindbetaling pr. 31. december 2023. DET ER VIGTIGT PENSIONSINDBETALINGEN VEDR. EN HEL MÅNEDS INDBETALING. (Hvis ikke der sker ændring i lønnen kan pensionsindbetalingen aflæses allerede i september/oktober mdr.)</v>
      </c>
      <c r="C75" s="1603">
        <f t="shared" ref="C75:U75" si="311">C46/C22*Prc</f>
        <v>0</v>
      </c>
      <c r="D75" s="1603">
        <f t="shared" si="311"/>
        <v>0</v>
      </c>
      <c r="E75" s="1603">
        <f t="shared" si="311"/>
        <v>0</v>
      </c>
      <c r="F75" s="1603">
        <f t="shared" ref="F75" si="312">F46/F22*Prc</f>
        <v>0</v>
      </c>
      <c r="G75" s="1603">
        <f t="shared" si="311"/>
        <v>0</v>
      </c>
      <c r="H75" s="1603">
        <f t="shared" si="311"/>
        <v>0</v>
      </c>
      <c r="I75" s="1603">
        <f t="shared" ref="I75" si="313">I46/I22*Prc</f>
        <v>0</v>
      </c>
      <c r="J75" s="1603">
        <f t="shared" si="311"/>
        <v>0</v>
      </c>
      <c r="K75" s="1603">
        <f t="shared" si="311"/>
        <v>0</v>
      </c>
      <c r="L75" s="1603">
        <f t="shared" si="311"/>
        <v>0</v>
      </c>
      <c r="M75" s="1603">
        <f t="shared" si="311"/>
        <v>0</v>
      </c>
      <c r="N75" s="1603">
        <f t="shared" si="311"/>
        <v>0</v>
      </c>
      <c r="O75" s="1603">
        <f t="shared" si="311"/>
        <v>0</v>
      </c>
      <c r="P75" s="1603">
        <f t="shared" si="311"/>
        <v>0</v>
      </c>
      <c r="Q75" s="1603">
        <f t="shared" si="311"/>
        <v>0</v>
      </c>
      <c r="R75" s="1603">
        <f t="shared" si="311"/>
        <v>0</v>
      </c>
      <c r="S75" s="1603">
        <f t="shared" si="311"/>
        <v>0</v>
      </c>
      <c r="T75" s="1603">
        <f t="shared" si="311"/>
        <v>0</v>
      </c>
      <c r="U75" s="1603">
        <f t="shared" si="311"/>
        <v>0</v>
      </c>
      <c r="V75" s="1604"/>
      <c r="W75" s="1604"/>
      <c r="X75" s="1603">
        <f t="shared" ref="X75:AJ75" si="314">X46/X22*Prc</f>
        <v>0</v>
      </c>
      <c r="Y75" s="1603">
        <f t="shared" ref="Y75" si="315">Y46/Y22*Prc</f>
        <v>0</v>
      </c>
      <c r="Z75" s="1603">
        <f t="shared" si="314"/>
        <v>0</v>
      </c>
      <c r="AA75" s="1603">
        <f t="shared" si="314"/>
        <v>0</v>
      </c>
      <c r="AB75" s="1603">
        <f t="shared" si="314"/>
        <v>0</v>
      </c>
      <c r="AC75" s="1603">
        <f t="shared" si="314"/>
        <v>0</v>
      </c>
      <c r="AD75" s="1603">
        <f t="shared" si="314"/>
        <v>0</v>
      </c>
      <c r="AE75" s="1603">
        <f t="shared" ref="AE75" si="316">AE46/AE22*Prc</f>
        <v>0</v>
      </c>
      <c r="AF75" s="1603">
        <f t="shared" si="314"/>
        <v>0</v>
      </c>
      <c r="AG75" s="1603">
        <f t="shared" si="314"/>
        <v>0</v>
      </c>
      <c r="AH75" s="1603">
        <f t="shared" si="314"/>
        <v>0</v>
      </c>
      <c r="AI75" s="1603">
        <f t="shared" si="314"/>
        <v>0</v>
      </c>
      <c r="AJ75" s="1603">
        <f t="shared" si="314"/>
        <v>0</v>
      </c>
      <c r="AK75" s="1603">
        <f t="shared" ref="AK75:AN75" si="317">AK46/AK22*Prc</f>
        <v>0</v>
      </c>
      <c r="AL75" s="1603">
        <f t="shared" si="317"/>
        <v>0</v>
      </c>
      <c r="AM75" s="1603">
        <f t="shared" si="317"/>
        <v>0</v>
      </c>
      <c r="AN75" s="1603">
        <f t="shared" si="317"/>
        <v>0</v>
      </c>
      <c r="AO75" s="1603">
        <f t="shared" ref="AO75:AQ75" si="318">AO46/AO22*Prc</f>
        <v>0</v>
      </c>
      <c r="AP75" s="1603">
        <f t="shared" si="318"/>
        <v>0</v>
      </c>
      <c r="AQ75" s="1603">
        <f t="shared" si="318"/>
        <v>0</v>
      </c>
      <c r="AR75" s="2091">
        <f t="shared" ref="AR75:AU75" si="319">AR46/AR22*Prc</f>
        <v>0</v>
      </c>
      <c r="AS75" s="2091">
        <f t="shared" si="319"/>
        <v>0</v>
      </c>
      <c r="AT75" s="2091">
        <f t="shared" ref="AT75" si="320">AT46/AT22*Prc</f>
        <v>0</v>
      </c>
      <c r="AU75" s="2091">
        <f t="shared" si="319"/>
        <v>0</v>
      </c>
      <c r="AV75" s="2091">
        <f t="shared" ref="AV75:AW75" si="321">AV46/AV22*Prc</f>
        <v>0</v>
      </c>
      <c r="AW75" s="2091">
        <f t="shared" si="321"/>
        <v>0</v>
      </c>
      <c r="AX75" s="2091">
        <f t="shared" ref="AX75" si="322">AX46/AX22*Prc</f>
        <v>0</v>
      </c>
      <c r="AY75" s="2091">
        <f t="shared" ref="AY75" si="323">AY46/AY22*Prc</f>
        <v>0</v>
      </c>
      <c r="AZ75" s="1605"/>
      <c r="BA75" s="1605"/>
      <c r="BB75" s="1603">
        <f t="shared" ref="BB75:BL75" si="324">BB46/BB22*Prc</f>
        <v>0</v>
      </c>
      <c r="BC75" s="1603">
        <f t="shared" ref="BC75" si="325">BC46/BC22*Prc</f>
        <v>0</v>
      </c>
      <c r="BD75" s="1603">
        <f t="shared" si="324"/>
        <v>0</v>
      </c>
      <c r="BE75" s="1603">
        <f t="shared" si="324"/>
        <v>0</v>
      </c>
      <c r="BF75" s="1603">
        <f t="shared" si="324"/>
        <v>0</v>
      </c>
      <c r="BG75" s="1603">
        <f t="shared" si="324"/>
        <v>0</v>
      </c>
      <c r="BH75" s="1603">
        <f t="shared" si="324"/>
        <v>0</v>
      </c>
      <c r="BI75" s="1603">
        <f t="shared" si="324"/>
        <v>0</v>
      </c>
      <c r="BJ75" s="1603">
        <f t="shared" si="324"/>
        <v>0</v>
      </c>
      <c r="BK75" s="1603">
        <f t="shared" si="324"/>
        <v>0</v>
      </c>
      <c r="BL75" s="1603">
        <f t="shared" si="324"/>
        <v>0</v>
      </c>
      <c r="BM75" s="1605"/>
      <c r="BN75" s="1605"/>
      <c r="BO75" s="1603">
        <f t="shared" ref="BO75:BX75" si="326">BO46/BO22*Prc</f>
        <v>0</v>
      </c>
      <c r="BP75" s="1603">
        <f t="shared" si="326"/>
        <v>0</v>
      </c>
      <c r="BQ75" s="1603">
        <f t="shared" si="326"/>
        <v>0</v>
      </c>
      <c r="BR75" s="1603">
        <f t="shared" si="326"/>
        <v>0</v>
      </c>
      <c r="BS75" s="1603">
        <f t="shared" si="326"/>
        <v>0</v>
      </c>
      <c r="BT75" s="1603">
        <f t="shared" si="326"/>
        <v>0</v>
      </c>
      <c r="BU75" s="1603">
        <f t="shared" si="326"/>
        <v>0</v>
      </c>
      <c r="BV75" s="1603">
        <f t="shared" si="326"/>
        <v>0</v>
      </c>
      <c r="BW75" s="1603">
        <f t="shared" si="326"/>
        <v>0</v>
      </c>
      <c r="BX75" s="1603">
        <f t="shared" si="326"/>
        <v>0</v>
      </c>
      <c r="BY75" s="1605"/>
      <c r="BZ75" s="1605"/>
      <c r="CA75" s="1603">
        <f t="shared" ref="CA75:CH75" si="327">CA46/CA22*Prc</f>
        <v>0</v>
      </c>
      <c r="CB75" s="1603">
        <f t="shared" si="327"/>
        <v>0</v>
      </c>
      <c r="CC75" s="1603">
        <f t="shared" si="327"/>
        <v>0</v>
      </c>
      <c r="CD75" s="1603">
        <f t="shared" si="327"/>
        <v>0</v>
      </c>
      <c r="CE75" s="1603">
        <f t="shared" si="327"/>
        <v>0</v>
      </c>
      <c r="CF75" s="1603">
        <f t="shared" si="327"/>
        <v>0</v>
      </c>
      <c r="CG75" s="1603">
        <f t="shared" si="327"/>
        <v>0</v>
      </c>
      <c r="CH75" s="1603">
        <f t="shared" si="327"/>
        <v>0</v>
      </c>
      <c r="CI75" s="1604"/>
      <c r="CJ75" s="1604"/>
      <c r="CK75" s="1603">
        <f t="shared" ref="CK75:CU75" si="328">CK46/CK22*Prc</f>
        <v>0</v>
      </c>
      <c r="CL75" s="1603">
        <f t="shared" si="328"/>
        <v>0</v>
      </c>
      <c r="CM75" s="1603">
        <f t="shared" si="328"/>
        <v>0</v>
      </c>
      <c r="CN75" s="1603">
        <f t="shared" si="328"/>
        <v>0</v>
      </c>
      <c r="CO75" s="1603">
        <f t="shared" si="328"/>
        <v>0</v>
      </c>
      <c r="CP75" s="1603">
        <f t="shared" si="328"/>
        <v>0</v>
      </c>
      <c r="CQ75" s="1603">
        <f t="shared" si="328"/>
        <v>0</v>
      </c>
      <c r="CR75" s="1603">
        <f t="shared" si="328"/>
        <v>0</v>
      </c>
      <c r="CS75" s="1603">
        <f t="shared" si="328"/>
        <v>0</v>
      </c>
      <c r="CT75" s="1603">
        <f t="shared" si="328"/>
        <v>0</v>
      </c>
      <c r="CU75" s="1603">
        <f t="shared" si="328"/>
        <v>0</v>
      </c>
      <c r="CV75" s="1604"/>
      <c r="CW75" s="1604"/>
      <c r="CX75" s="1603">
        <f>CX46/CX22*Prc</f>
        <v>0</v>
      </c>
      <c r="CY75" s="1603">
        <f>CY46/CY22*Prc</f>
        <v>0</v>
      </c>
      <c r="CZ75" s="1603">
        <f>CZ46/CZ22*Prc</f>
        <v>0</v>
      </c>
      <c r="DA75" s="1603">
        <f>DA46/DA22*Prc</f>
        <v>0</v>
      </c>
      <c r="DB75" s="1603">
        <f>DB46/DB22*Prc</f>
        <v>0</v>
      </c>
      <c r="DC75" s="1605"/>
      <c r="DD75" s="1605"/>
      <c r="DF75" s="482"/>
      <c r="DG75" s="485"/>
    </row>
    <row r="76" spans="1:134" ht="25" hidden="1" customHeight="1">
      <c r="A76" s="1349"/>
      <c r="B76" s="1602" t="str">
        <f>'lon undervisning'!B89</f>
        <v>Skolens bidrag til ATP december 2021. (Kan også aflæses i september/oktober mdr.)</v>
      </c>
      <c r="C76" s="1603">
        <f t="shared" ref="C76:U76" si="329">C47/3*2</f>
        <v>0</v>
      </c>
      <c r="D76" s="1603">
        <f t="shared" si="329"/>
        <v>0</v>
      </c>
      <c r="E76" s="1603">
        <f t="shared" si="329"/>
        <v>0</v>
      </c>
      <c r="F76" s="1603">
        <f t="shared" ref="F76" si="330">F47/3*2</f>
        <v>0</v>
      </c>
      <c r="G76" s="1603">
        <f t="shared" si="329"/>
        <v>0</v>
      </c>
      <c r="H76" s="1603">
        <f t="shared" si="329"/>
        <v>0</v>
      </c>
      <c r="I76" s="1603">
        <f t="shared" ref="I76" si="331">I47/3*2</f>
        <v>0</v>
      </c>
      <c r="J76" s="1603">
        <f t="shared" si="329"/>
        <v>0</v>
      </c>
      <c r="K76" s="1603">
        <f t="shared" si="329"/>
        <v>0</v>
      </c>
      <c r="L76" s="1603">
        <f t="shared" si="329"/>
        <v>0</v>
      </c>
      <c r="M76" s="1603">
        <f t="shared" si="329"/>
        <v>0</v>
      </c>
      <c r="N76" s="1603">
        <f t="shared" si="329"/>
        <v>0</v>
      </c>
      <c r="O76" s="1603">
        <f t="shared" si="329"/>
        <v>0</v>
      </c>
      <c r="P76" s="1603">
        <f t="shared" si="329"/>
        <v>0</v>
      </c>
      <c r="Q76" s="1603">
        <f t="shared" si="329"/>
        <v>0</v>
      </c>
      <c r="R76" s="1603">
        <f t="shared" si="329"/>
        <v>0</v>
      </c>
      <c r="S76" s="1603">
        <f t="shared" si="329"/>
        <v>0</v>
      </c>
      <c r="T76" s="1603">
        <f t="shared" si="329"/>
        <v>0</v>
      </c>
      <c r="U76" s="1603">
        <f t="shared" si="329"/>
        <v>0</v>
      </c>
      <c r="V76" s="1604"/>
      <c r="W76" s="1604"/>
      <c r="X76" s="1603">
        <f t="shared" ref="X76:AJ76" si="332">X47/3*2</f>
        <v>0</v>
      </c>
      <c r="Y76" s="1603">
        <f t="shared" ref="Y76" si="333">Y47/3*2</f>
        <v>0</v>
      </c>
      <c r="Z76" s="1603">
        <f t="shared" si="332"/>
        <v>0</v>
      </c>
      <c r="AA76" s="1603">
        <f t="shared" si="332"/>
        <v>0</v>
      </c>
      <c r="AB76" s="1603">
        <f t="shared" si="332"/>
        <v>0</v>
      </c>
      <c r="AC76" s="1603">
        <f t="shared" si="332"/>
        <v>0</v>
      </c>
      <c r="AD76" s="1603">
        <f t="shared" si="332"/>
        <v>0</v>
      </c>
      <c r="AE76" s="1603">
        <f t="shared" ref="AE76" si="334">AE47/3*2</f>
        <v>0</v>
      </c>
      <c r="AF76" s="1603">
        <f t="shared" si="332"/>
        <v>0</v>
      </c>
      <c r="AG76" s="1603">
        <f t="shared" si="332"/>
        <v>0</v>
      </c>
      <c r="AH76" s="1603">
        <f t="shared" si="332"/>
        <v>0</v>
      </c>
      <c r="AI76" s="1603">
        <f t="shared" si="332"/>
        <v>0</v>
      </c>
      <c r="AJ76" s="1603">
        <f t="shared" si="332"/>
        <v>0</v>
      </c>
      <c r="AK76" s="1603">
        <f t="shared" ref="AK76:AN76" si="335">AK47/3*2</f>
        <v>0</v>
      </c>
      <c r="AL76" s="1603">
        <f t="shared" si="335"/>
        <v>0</v>
      </c>
      <c r="AM76" s="1603">
        <f t="shared" si="335"/>
        <v>0</v>
      </c>
      <c r="AN76" s="1603">
        <f t="shared" si="335"/>
        <v>0</v>
      </c>
      <c r="AO76" s="1603">
        <f t="shared" ref="AO76:AY76" si="336">AO47/3*2</f>
        <v>0</v>
      </c>
      <c r="AP76" s="1603">
        <f t="shared" si="336"/>
        <v>0</v>
      </c>
      <c r="AQ76" s="1603">
        <f t="shared" si="336"/>
        <v>0</v>
      </c>
      <c r="AR76" s="2091">
        <f t="shared" si="336"/>
        <v>0</v>
      </c>
      <c r="AS76" s="2091">
        <f t="shared" si="336"/>
        <v>0</v>
      </c>
      <c r="AT76" s="2091">
        <f t="shared" si="336"/>
        <v>0</v>
      </c>
      <c r="AU76" s="2091">
        <f t="shared" si="336"/>
        <v>0</v>
      </c>
      <c r="AV76" s="2091">
        <f t="shared" si="336"/>
        <v>0</v>
      </c>
      <c r="AW76" s="2091">
        <f t="shared" si="336"/>
        <v>0</v>
      </c>
      <c r="AX76" s="2091">
        <f t="shared" si="336"/>
        <v>0</v>
      </c>
      <c r="AY76" s="2091">
        <f t="shared" si="336"/>
        <v>0</v>
      </c>
      <c r="AZ76" s="1605"/>
      <c r="BA76" s="1605"/>
      <c r="BB76" s="1603">
        <f t="shared" ref="BB76:BL76" si="337">BB47/3*2</f>
        <v>0</v>
      </c>
      <c r="BC76" s="1603">
        <f t="shared" ref="BC76" si="338">BC47/3*2</f>
        <v>0</v>
      </c>
      <c r="BD76" s="1603">
        <f t="shared" si="337"/>
        <v>0</v>
      </c>
      <c r="BE76" s="1603">
        <f t="shared" si="337"/>
        <v>0</v>
      </c>
      <c r="BF76" s="1603">
        <f t="shared" si="337"/>
        <v>0</v>
      </c>
      <c r="BG76" s="1603">
        <f t="shared" si="337"/>
        <v>0</v>
      </c>
      <c r="BH76" s="1603">
        <f t="shared" si="337"/>
        <v>0</v>
      </c>
      <c r="BI76" s="1603">
        <f t="shared" si="337"/>
        <v>0</v>
      </c>
      <c r="BJ76" s="1603">
        <f t="shared" si="337"/>
        <v>0</v>
      </c>
      <c r="BK76" s="1603">
        <f t="shared" si="337"/>
        <v>0</v>
      </c>
      <c r="BL76" s="1603">
        <f t="shared" si="337"/>
        <v>0</v>
      </c>
      <c r="BM76" s="1605"/>
      <c r="BN76" s="1605"/>
      <c r="BO76" s="1603">
        <f t="shared" ref="BO76:BX76" si="339">BO47/3*2</f>
        <v>0</v>
      </c>
      <c r="BP76" s="1603">
        <f t="shared" si="339"/>
        <v>0</v>
      </c>
      <c r="BQ76" s="1603">
        <f t="shared" si="339"/>
        <v>0</v>
      </c>
      <c r="BR76" s="1603">
        <f t="shared" si="339"/>
        <v>0</v>
      </c>
      <c r="BS76" s="1603">
        <f t="shared" si="339"/>
        <v>0</v>
      </c>
      <c r="BT76" s="1603">
        <f t="shared" si="339"/>
        <v>0</v>
      </c>
      <c r="BU76" s="1603">
        <f t="shared" si="339"/>
        <v>0</v>
      </c>
      <c r="BV76" s="1603">
        <f t="shared" si="339"/>
        <v>0</v>
      </c>
      <c r="BW76" s="1603">
        <f t="shared" si="339"/>
        <v>0</v>
      </c>
      <c r="BX76" s="1603">
        <f t="shared" si="339"/>
        <v>0</v>
      </c>
      <c r="BY76" s="1605"/>
      <c r="BZ76" s="1605"/>
      <c r="CA76" s="1603">
        <f t="shared" ref="CA76:CH76" si="340">CA47/3*2</f>
        <v>0</v>
      </c>
      <c r="CB76" s="1603">
        <f t="shared" si="340"/>
        <v>0</v>
      </c>
      <c r="CC76" s="1603">
        <f t="shared" si="340"/>
        <v>0</v>
      </c>
      <c r="CD76" s="1603">
        <f t="shared" si="340"/>
        <v>0</v>
      </c>
      <c r="CE76" s="1603">
        <f t="shared" si="340"/>
        <v>0</v>
      </c>
      <c r="CF76" s="1603">
        <f t="shared" si="340"/>
        <v>0</v>
      </c>
      <c r="CG76" s="1603">
        <f t="shared" si="340"/>
        <v>0</v>
      </c>
      <c r="CH76" s="1603">
        <f t="shared" si="340"/>
        <v>0</v>
      </c>
      <c r="CI76" s="1604"/>
      <c r="CJ76" s="1604"/>
      <c r="CK76" s="1603">
        <f t="shared" ref="CK76:CU76" si="341">CK47/3*2</f>
        <v>0</v>
      </c>
      <c r="CL76" s="1603">
        <f t="shared" si="341"/>
        <v>0</v>
      </c>
      <c r="CM76" s="1603">
        <f t="shared" si="341"/>
        <v>0</v>
      </c>
      <c r="CN76" s="1603">
        <f t="shared" si="341"/>
        <v>0</v>
      </c>
      <c r="CO76" s="1603">
        <f t="shared" si="341"/>
        <v>0</v>
      </c>
      <c r="CP76" s="1603">
        <f t="shared" si="341"/>
        <v>0</v>
      </c>
      <c r="CQ76" s="1603">
        <f t="shared" si="341"/>
        <v>0</v>
      </c>
      <c r="CR76" s="1603">
        <f t="shared" si="341"/>
        <v>0</v>
      </c>
      <c r="CS76" s="1603">
        <f t="shared" si="341"/>
        <v>0</v>
      </c>
      <c r="CT76" s="1603">
        <f t="shared" si="341"/>
        <v>0</v>
      </c>
      <c r="CU76" s="1603">
        <f t="shared" si="341"/>
        <v>0</v>
      </c>
      <c r="CV76" s="1604"/>
      <c r="CW76" s="1604"/>
      <c r="CX76" s="1603">
        <f>CX47/3*2</f>
        <v>0</v>
      </c>
      <c r="CY76" s="1603">
        <f>CY47/3*2</f>
        <v>0</v>
      </c>
      <c r="CZ76" s="1603">
        <f>CZ47/3*2</f>
        <v>0</v>
      </c>
      <c r="DA76" s="1603">
        <f>DA47/3*2</f>
        <v>0</v>
      </c>
      <c r="DB76" s="1603">
        <f>DB47/3*2</f>
        <v>0</v>
      </c>
      <c r="DC76" s="1605"/>
      <c r="DD76" s="1605"/>
      <c r="DF76" s="483"/>
      <c r="DG76" s="484"/>
    </row>
    <row r="77" spans="1:134" ht="25" hidden="1" customHeight="1" thickBot="1">
      <c r="A77" s="1349"/>
      <c r="B77" s="1602" t="str">
        <f>'lon undervisning'!B90</f>
        <v>Ferietillæg 2,02 % optjent september-december 2024</v>
      </c>
      <c r="C77" s="1603">
        <f>IF(C14&gt;0,(C74*4)*2.02%,0)</f>
        <v>0</v>
      </c>
      <c r="D77" s="1603">
        <f t="shared" ref="D77:U77" si="342">IF(D14&gt;0,(D74*4)*2.02%,0)</f>
        <v>0</v>
      </c>
      <c r="E77" s="1603">
        <f t="shared" si="342"/>
        <v>0</v>
      </c>
      <c r="F77" s="1603">
        <f t="shared" ref="F77" si="343">IF(F14&gt;0,(F74*4)*2.02%,0)</f>
        <v>0</v>
      </c>
      <c r="G77" s="1603">
        <f t="shared" si="342"/>
        <v>0</v>
      </c>
      <c r="H77" s="1603">
        <f t="shared" si="342"/>
        <v>0</v>
      </c>
      <c r="I77" s="1603">
        <f t="shared" ref="I77" si="344">IF(I14&gt;0,(I74*4)*2.02%,0)</f>
        <v>0</v>
      </c>
      <c r="J77" s="1603">
        <f t="shared" si="342"/>
        <v>0</v>
      </c>
      <c r="K77" s="1603">
        <f t="shared" si="342"/>
        <v>0</v>
      </c>
      <c r="L77" s="1603">
        <f t="shared" si="342"/>
        <v>0</v>
      </c>
      <c r="M77" s="1603">
        <f t="shared" si="342"/>
        <v>0</v>
      </c>
      <c r="N77" s="1603">
        <f t="shared" si="342"/>
        <v>0</v>
      </c>
      <c r="O77" s="1603">
        <f>IF(O14&gt;0,(O74*4)*2.02%,0)</f>
        <v>0</v>
      </c>
      <c r="P77" s="1603">
        <f t="shared" si="342"/>
        <v>0</v>
      </c>
      <c r="Q77" s="1603">
        <f t="shared" si="342"/>
        <v>0</v>
      </c>
      <c r="R77" s="1603">
        <f t="shared" si="342"/>
        <v>0</v>
      </c>
      <c r="S77" s="1603">
        <f t="shared" si="342"/>
        <v>0</v>
      </c>
      <c r="T77" s="1603">
        <f t="shared" si="342"/>
        <v>0</v>
      </c>
      <c r="U77" s="1603">
        <f t="shared" si="342"/>
        <v>0</v>
      </c>
      <c r="V77" s="1604"/>
      <c r="W77" s="1604"/>
      <c r="X77" s="1603">
        <f>IF(X14&gt;0,(X74*4)*2.02%,0)</f>
        <v>0</v>
      </c>
      <c r="Y77" s="1603">
        <f>IF(Y14&gt;0,(Y74*4)*2.02%,0)</f>
        <v>0</v>
      </c>
      <c r="Z77" s="1603">
        <f t="shared" ref="Z77:AI77" si="345">IF(Z14&gt;0,(Z74*4)*2.02%,0)</f>
        <v>0</v>
      </c>
      <c r="AA77" s="1603">
        <f t="shared" si="345"/>
        <v>0</v>
      </c>
      <c r="AB77" s="1603">
        <f t="shared" si="345"/>
        <v>0</v>
      </c>
      <c r="AC77" s="1603">
        <f t="shared" si="345"/>
        <v>0</v>
      </c>
      <c r="AD77" s="1603">
        <f t="shared" si="345"/>
        <v>0</v>
      </c>
      <c r="AE77" s="1603">
        <f t="shared" ref="AE77" si="346">IF(AE14&gt;0,(AE74*4)*2.02%,0)</f>
        <v>0</v>
      </c>
      <c r="AF77" s="1603">
        <f t="shared" si="345"/>
        <v>0</v>
      </c>
      <c r="AG77" s="1603">
        <f t="shared" si="345"/>
        <v>0</v>
      </c>
      <c r="AH77" s="1603">
        <f t="shared" si="345"/>
        <v>0</v>
      </c>
      <c r="AI77" s="1603">
        <f t="shared" si="345"/>
        <v>0</v>
      </c>
      <c r="AJ77" s="1603">
        <f>IF(AJ14&gt;0,(AJ74*4)*2.02%,0)</f>
        <v>0</v>
      </c>
      <c r="AK77" s="1603">
        <f t="shared" ref="AK77:AM77" si="347">IF(AK14&gt;0,(AK74*4)*2.02%,0)</f>
        <v>0</v>
      </c>
      <c r="AL77" s="1603">
        <f t="shared" si="347"/>
        <v>0</v>
      </c>
      <c r="AM77" s="1603">
        <f t="shared" si="347"/>
        <v>0</v>
      </c>
      <c r="AN77" s="1603">
        <f>IF(AN14&gt;0,(AN74*4)*2.02%,0)</f>
        <v>0</v>
      </c>
      <c r="AO77" s="1603">
        <f t="shared" ref="AO77:AQ77" si="348">IF(AO14&gt;0,(AO74*4)*2.02%,0)</f>
        <v>0</v>
      </c>
      <c r="AP77" s="1603">
        <f t="shared" si="348"/>
        <v>0</v>
      </c>
      <c r="AQ77" s="1603">
        <f t="shared" si="348"/>
        <v>0</v>
      </c>
      <c r="AR77" s="2091">
        <f>IF(AR14&gt;0,(AR74*4)*2.02%,0)</f>
        <v>0</v>
      </c>
      <c r="AS77" s="2091">
        <f t="shared" ref="AS77:AT77" si="349">IF(AS14&gt;0,(AS74*4)*2.02%,0)</f>
        <v>0</v>
      </c>
      <c r="AT77" s="2091">
        <f t="shared" si="349"/>
        <v>0</v>
      </c>
      <c r="AU77" s="2091">
        <f>IF(AU14&gt;0,(AU74*4)*2.02%,0)</f>
        <v>0</v>
      </c>
      <c r="AV77" s="2091">
        <f t="shared" ref="AV77" si="350">IF(AV14&gt;0,(AV74*4)*2.02%,0)</f>
        <v>0</v>
      </c>
      <c r="AW77" s="2091">
        <f>IF(AW14&gt;0,(AW74*4)*2.02%,0)</f>
        <v>0</v>
      </c>
      <c r="AX77" s="2091">
        <f>IF(AX14&gt;0,(AX74*4)*2.02%,0)</f>
        <v>0</v>
      </c>
      <c r="AY77" s="2091">
        <f t="shared" ref="AY77" si="351">IF(AY14&gt;0,(AY74*4)*2.02%,0)</f>
        <v>0</v>
      </c>
      <c r="AZ77" s="1605"/>
      <c r="BA77" s="1605"/>
      <c r="BB77" s="1603">
        <f>IF(BB14&gt;0,(BB74*4)*2.02%,0)</f>
        <v>0</v>
      </c>
      <c r="BC77" s="1603">
        <f>IF(BC14&gt;0,(BC74*4)*2.02%,0)</f>
        <v>0</v>
      </c>
      <c r="BD77" s="1603">
        <f t="shared" ref="BD77:BL77" si="352">IF(BD14&gt;0,(BD74*4)*2.02%,0)</f>
        <v>0</v>
      </c>
      <c r="BE77" s="1603">
        <f t="shared" si="352"/>
        <v>0</v>
      </c>
      <c r="BF77" s="1603">
        <f t="shared" si="352"/>
        <v>0</v>
      </c>
      <c r="BG77" s="1603">
        <f t="shared" si="352"/>
        <v>0</v>
      </c>
      <c r="BH77" s="1603">
        <f t="shared" si="352"/>
        <v>0</v>
      </c>
      <c r="BI77" s="1603">
        <f t="shared" si="352"/>
        <v>0</v>
      </c>
      <c r="BJ77" s="1603">
        <f t="shared" si="352"/>
        <v>0</v>
      </c>
      <c r="BK77" s="1603">
        <f t="shared" si="352"/>
        <v>0</v>
      </c>
      <c r="BL77" s="1603">
        <f t="shared" si="352"/>
        <v>0</v>
      </c>
      <c r="BM77" s="1605"/>
      <c r="BN77" s="1605"/>
      <c r="BO77" s="1603">
        <f>IF(BO14&gt;0,(BO74*4)*2.02%,0)</f>
        <v>0</v>
      </c>
      <c r="BP77" s="1603">
        <f t="shared" ref="BP77:BX77" si="353">IF(BP14&gt;0,(BP74*4)*2.02%,0)</f>
        <v>0</v>
      </c>
      <c r="BQ77" s="1603">
        <f t="shared" si="353"/>
        <v>0</v>
      </c>
      <c r="BR77" s="1603">
        <f t="shared" si="353"/>
        <v>0</v>
      </c>
      <c r="BS77" s="1603">
        <f>IF(BS14&gt;0,(BS74*4)*2.02%,0)</f>
        <v>0</v>
      </c>
      <c r="BT77" s="1603">
        <f t="shared" si="353"/>
        <v>0</v>
      </c>
      <c r="BU77" s="1603">
        <f t="shared" si="353"/>
        <v>0</v>
      </c>
      <c r="BV77" s="1603">
        <f t="shared" si="353"/>
        <v>0</v>
      </c>
      <c r="BW77" s="1603">
        <f>IF(BW14&gt;0,(BW74*4)*2.02%,0)</f>
        <v>0</v>
      </c>
      <c r="BX77" s="1603">
        <f t="shared" si="353"/>
        <v>0</v>
      </c>
      <c r="BY77" s="1605"/>
      <c r="BZ77" s="1605"/>
      <c r="CA77" s="1603">
        <f>IF(CA14&gt;0,(CA74*4)*2.02%,0)</f>
        <v>0</v>
      </c>
      <c r="CB77" s="1603">
        <f t="shared" ref="CB77:CH77" si="354">IF(CB14&gt;0,(CB74*4)*2.02%,0)</f>
        <v>0</v>
      </c>
      <c r="CC77" s="1603">
        <f t="shared" si="354"/>
        <v>0</v>
      </c>
      <c r="CD77" s="1603">
        <f t="shared" ref="CD77" si="355">IF(CD14&gt;0,(CD74*4)*2.02%,0)</f>
        <v>0</v>
      </c>
      <c r="CE77" s="1603">
        <f t="shared" si="354"/>
        <v>0</v>
      </c>
      <c r="CF77" s="1603">
        <f t="shared" ref="CF77:CG77" si="356">IF(CF14&gt;0,(CF74*4)*2.02%,0)</f>
        <v>0</v>
      </c>
      <c r="CG77" s="1603">
        <f t="shared" si="356"/>
        <v>0</v>
      </c>
      <c r="CH77" s="1603">
        <f t="shared" si="354"/>
        <v>0</v>
      </c>
      <c r="CI77" s="1604"/>
      <c r="CJ77" s="1604"/>
      <c r="CK77" s="1603">
        <f>IF(CK14&gt;0,(CK74*4)*2.02%,0)</f>
        <v>0</v>
      </c>
      <c r="CL77" s="1603">
        <f t="shared" ref="CL77:CU77" si="357">IF(CL14&gt;0,(CL74*4)*2.02%,0)</f>
        <v>0</v>
      </c>
      <c r="CM77" s="1603">
        <f t="shared" si="357"/>
        <v>0</v>
      </c>
      <c r="CN77" s="1603">
        <f t="shared" si="357"/>
        <v>0</v>
      </c>
      <c r="CO77" s="1603">
        <f t="shared" si="357"/>
        <v>0</v>
      </c>
      <c r="CP77" s="1603">
        <f t="shared" si="357"/>
        <v>0</v>
      </c>
      <c r="CQ77" s="1603">
        <f t="shared" si="357"/>
        <v>0</v>
      </c>
      <c r="CR77" s="1603">
        <f t="shared" si="357"/>
        <v>0</v>
      </c>
      <c r="CS77" s="1603">
        <f t="shared" si="357"/>
        <v>0</v>
      </c>
      <c r="CT77" s="1603">
        <f t="shared" si="357"/>
        <v>0</v>
      </c>
      <c r="CU77" s="1603">
        <f t="shared" si="357"/>
        <v>0</v>
      </c>
      <c r="CV77" s="1604"/>
      <c r="CW77" s="1604"/>
      <c r="CX77" s="1603">
        <f>IF(CX14&gt;0,(CX74*4)*2.02%,0)</f>
        <v>0</v>
      </c>
      <c r="CY77" s="1603">
        <f t="shared" ref="CY77:DB77" si="358">IF(CY14&gt;0,(CY74*4)*2.02%,0)</f>
        <v>0</v>
      </c>
      <c r="CZ77" s="1603">
        <f t="shared" si="358"/>
        <v>0</v>
      </c>
      <c r="DA77" s="1603">
        <f t="shared" si="358"/>
        <v>0</v>
      </c>
      <c r="DB77" s="1603">
        <f t="shared" si="358"/>
        <v>0</v>
      </c>
      <c r="DC77" s="1605"/>
      <c r="DD77" s="1605"/>
      <c r="DF77" s="480"/>
      <c r="DG77" s="480"/>
    </row>
    <row r="78" spans="1:134" ht="31" customHeight="1" thickBot="1">
      <c r="A78" s="3021">
        <f>'lon undervisning'!A91</f>
        <v>2025</v>
      </c>
      <c r="B78" s="1602" t="str">
        <f>'lon undervisning'!B91</f>
        <v>Antal skyldige feriedage og særlige feriedage pr. 31.12.2025. (Anvendes til feriepengeforpligtigelse)</v>
      </c>
      <c r="C78" s="1603"/>
      <c r="D78" s="1603"/>
      <c r="E78" s="1603"/>
      <c r="F78" s="1603"/>
      <c r="G78" s="1603"/>
      <c r="H78" s="1603"/>
      <c r="I78" s="1603"/>
      <c r="J78" s="1603"/>
      <c r="K78" s="1603"/>
      <c r="L78" s="1603"/>
      <c r="M78" s="1603"/>
      <c r="N78" s="1603"/>
      <c r="O78" s="1603"/>
      <c r="P78" s="1603"/>
      <c r="Q78" s="1603"/>
      <c r="R78" s="1603"/>
      <c r="S78" s="1603"/>
      <c r="T78" s="1603"/>
      <c r="U78" s="1603"/>
      <c r="V78" s="1604"/>
      <c r="W78" s="1604"/>
      <c r="X78" s="1603"/>
      <c r="Y78" s="1603"/>
      <c r="Z78" s="1603"/>
      <c r="AA78" s="1603"/>
      <c r="AB78" s="1603"/>
      <c r="AC78" s="1603"/>
      <c r="AD78" s="1603"/>
      <c r="AE78" s="1603"/>
      <c r="AF78" s="1603"/>
      <c r="AG78" s="1603"/>
      <c r="AH78" s="1603"/>
      <c r="AI78" s="1603"/>
      <c r="AJ78" s="1603"/>
      <c r="AK78" s="1603"/>
      <c r="AL78" s="1603"/>
      <c r="AM78" s="1603"/>
      <c r="AN78" s="1603"/>
      <c r="AO78" s="1603"/>
      <c r="AP78" s="1603"/>
      <c r="AQ78" s="1603"/>
      <c r="AR78" s="2091"/>
      <c r="AS78" s="2091"/>
      <c r="AT78" s="2091"/>
      <c r="AU78" s="2091"/>
      <c r="AV78" s="2091"/>
      <c r="AW78" s="2091"/>
      <c r="AX78" s="2091"/>
      <c r="AY78" s="2091"/>
      <c r="AZ78" s="1605"/>
      <c r="BA78" s="1605"/>
      <c r="BB78" s="1603"/>
      <c r="BC78" s="1603"/>
      <c r="BD78" s="1603"/>
      <c r="BE78" s="1603"/>
      <c r="BF78" s="1603"/>
      <c r="BG78" s="1603"/>
      <c r="BH78" s="1603"/>
      <c r="BI78" s="1603"/>
      <c r="BJ78" s="1603"/>
      <c r="BK78" s="1603"/>
      <c r="BL78" s="1603"/>
      <c r="BM78" s="1605"/>
      <c r="BN78" s="1605"/>
      <c r="BO78" s="1603"/>
      <c r="BP78" s="1603"/>
      <c r="BQ78" s="1603"/>
      <c r="BR78" s="1603"/>
      <c r="BS78" s="1603"/>
      <c r="BT78" s="1603"/>
      <c r="BU78" s="1603"/>
      <c r="BV78" s="1603"/>
      <c r="BW78" s="1603"/>
      <c r="BX78" s="1603"/>
      <c r="BY78" s="1605"/>
      <c r="BZ78" s="1605"/>
      <c r="CA78" s="1355"/>
      <c r="CB78" s="1603"/>
      <c r="CC78" s="1603"/>
      <c r="CD78" s="1603"/>
      <c r="CE78" s="1603"/>
      <c r="CF78" s="1603"/>
      <c r="CG78" s="1603"/>
      <c r="CH78" s="1603"/>
      <c r="CI78" s="1604"/>
      <c r="CJ78" s="1604"/>
      <c r="CK78" s="1603"/>
      <c r="CL78" s="1606"/>
      <c r="CM78" s="1603"/>
      <c r="CN78" s="1603"/>
      <c r="CO78" s="1603"/>
      <c r="CP78" s="1603"/>
      <c r="CQ78" s="1603"/>
      <c r="CR78" s="1603"/>
      <c r="CS78" s="1603"/>
      <c r="CT78" s="1603"/>
      <c r="CU78" s="1603"/>
      <c r="CV78" s="1604"/>
      <c r="CW78" s="1604"/>
      <c r="CX78" s="1603"/>
      <c r="CY78" s="1603"/>
      <c r="CZ78" s="1603"/>
      <c r="DA78" s="1603"/>
      <c r="DB78" s="1603"/>
      <c r="DC78" s="1604"/>
      <c r="DD78" s="1604"/>
      <c r="DF78" s="497"/>
      <c r="DG78" s="498"/>
    </row>
    <row r="79" spans="1:134" ht="27" customHeight="1" thickBot="1">
      <c r="A79" s="3022"/>
      <c r="B79" s="1607" t="str">
        <f>'lon undervisning'!B92</f>
        <v>Feriepengeforpligtigelse 2025</v>
      </c>
      <c r="C79" s="1608" cm="1">
        <f t="array" ref="C79">IF(C78&gt;0,SUM((C74:C76)/21*C78)+C77)*C73</f>
        <v>0</v>
      </c>
      <c r="D79" s="1608" cm="1">
        <f t="array" ref="D79">IF(D78&gt;0,SUM((D74:D76)/21*D78)+D77)*D73</f>
        <v>0</v>
      </c>
      <c r="E79" s="1608" cm="1">
        <f t="array" ref="E79">IF(E78&gt;0,SUM((E74:E76)/21*E78)+E77)*E73</f>
        <v>0</v>
      </c>
      <c r="F79" s="1608" cm="1">
        <f t="array" ref="F79">IF(F78&gt;0,SUM((F74:F76)/21*F78)+F77)*F73</f>
        <v>0</v>
      </c>
      <c r="G79" s="1608" cm="1">
        <f t="array" ref="G79">IF(G78&gt;0,SUM((G74:G76)/21*G78)+G77)*G73</f>
        <v>0</v>
      </c>
      <c r="H79" s="1608" cm="1">
        <f t="array" ref="H79">IF(H78&gt;0,SUM((H74:H76)/21*H78)+H77)*H73</f>
        <v>0</v>
      </c>
      <c r="I79" s="1608" cm="1">
        <f t="array" ref="I79">IF(I78&gt;0,SUM((I74:I76)/21*I78)+I77)*I73</f>
        <v>0</v>
      </c>
      <c r="J79" s="1608" cm="1">
        <f t="array" ref="J79">IF(J78&gt;0,SUM((J74:J76)/21*J78)+J77)*J73</f>
        <v>0</v>
      </c>
      <c r="K79" s="1608" cm="1">
        <f t="array" ref="K79">IF(K78&gt;0,SUM((K74:K76)/21*K78)+K77)*K73</f>
        <v>0</v>
      </c>
      <c r="L79" s="1608" cm="1">
        <f t="array" ref="L79">IF(L78&gt;0,SUM((L74:L76)/21*L78)+L77)*L73</f>
        <v>0</v>
      </c>
      <c r="M79" s="1608" cm="1">
        <f t="array" ref="M79">IF(M78&gt;0,SUM((M74:M76)/21*M78)+M77)*M73</f>
        <v>0</v>
      </c>
      <c r="N79" s="1608" cm="1">
        <f t="array" ref="N79">IF(N78&gt;0,SUM((N74:N76)/21*N78)+N77)*N73</f>
        <v>0</v>
      </c>
      <c r="O79" s="1608" cm="1">
        <f t="array" ref="O79">IF(O78&gt;0,SUM((O74:O76)/21*O78)+O77)*O73</f>
        <v>0</v>
      </c>
      <c r="P79" s="1608" cm="1">
        <f t="array" ref="P79">IF(P78&gt;0,SUM((P74:P76)/21*P78)+P77)*P73</f>
        <v>0</v>
      </c>
      <c r="Q79" s="1608" cm="1">
        <f t="array" ref="Q79">IF(Q78&gt;0,SUM((Q74:Q76)/21*Q78)+Q77)*Q73</f>
        <v>0</v>
      </c>
      <c r="R79" s="1608" cm="1">
        <f t="array" ref="R79">IF(R78&gt;0,SUM((R74:R76)/21*R78)+R77)*R73</f>
        <v>0</v>
      </c>
      <c r="S79" s="1608" cm="1">
        <f t="array" ref="S79">IF(S78&gt;0,SUM((S74:S76)/21*S78)+S77)*S73</f>
        <v>0</v>
      </c>
      <c r="T79" s="1608" cm="1">
        <f t="array" ref="T79">IF(T78&gt;0,SUM((T74:T76)/21*T78)+T77)*T73</f>
        <v>0</v>
      </c>
      <c r="U79" s="1608" cm="1">
        <f t="array" ref="U79">IF(U78&gt;0,SUM((U74:U76)/21*U78)+U77)*U73</f>
        <v>0</v>
      </c>
      <c r="V79" s="1609"/>
      <c r="W79" s="1609"/>
      <c r="X79" s="1608" cm="1">
        <f t="array" ref="X79">IF(X78&gt;0,SUM((X74:X76)/21*X78)+X77)*X73</f>
        <v>0</v>
      </c>
      <c r="Y79" s="1608" cm="1">
        <f t="array" ref="Y79">IF(Y78&gt;0,SUM((Y74:Y76)/21*Y78)+Y77)*Y73</f>
        <v>0</v>
      </c>
      <c r="Z79" s="1608" cm="1">
        <f t="array" ref="Z79">IF(Z78&gt;0,SUM((Z74:Z76)/21*Z78)+Z77)*Z73</f>
        <v>0</v>
      </c>
      <c r="AA79" s="1608" cm="1">
        <f t="array" ref="AA79">IF(AA78&gt;0,SUM((AA74:AA76)/21*AA78)+AA77)*AA73</f>
        <v>0</v>
      </c>
      <c r="AB79" s="1608" cm="1">
        <f t="array" ref="AB79">IF(AB78&gt;0,SUM((AB74:AB76)/21*AB78)+AB77)*AB73</f>
        <v>0</v>
      </c>
      <c r="AC79" s="1608" cm="1">
        <f t="array" ref="AC79">IF(AC78&gt;0,SUM((AC74:AC76)/21*AC78)+AC77)*AC73</f>
        <v>0</v>
      </c>
      <c r="AD79" s="1608" cm="1">
        <f t="array" ref="AD79">IF(AD78&gt;0,SUM((AD74:AD76)/21*AD78)+AD77)*AD73</f>
        <v>0</v>
      </c>
      <c r="AE79" s="1608" cm="1">
        <f t="array" ref="AE79">IF(AE78&gt;0,SUM((AE74:AE76)/21*AE78)+AE77)*AE73</f>
        <v>0</v>
      </c>
      <c r="AF79" s="1608" cm="1">
        <f t="array" ref="AF79">IF(AF78&gt;0,SUM((AF74:AF76)/21*AF78)+AF77)*AF73</f>
        <v>0</v>
      </c>
      <c r="AG79" s="1608" cm="1">
        <f t="array" ref="AG79">IF(AG78&gt;0,SUM((AG74:AG76)/21*AG78)+AG77)*AG73</f>
        <v>0</v>
      </c>
      <c r="AH79" s="1608" cm="1">
        <f t="array" ref="AH79">IF(AH78&gt;0,SUM((AH74:AH76)/21*AH78)+AH77)*AH73</f>
        <v>0</v>
      </c>
      <c r="AI79" s="1608" cm="1">
        <f t="array" ref="AI79">IF(AI78&gt;0,SUM((AI74:AI76)/21*AI78)+AI77)*AI73</f>
        <v>0</v>
      </c>
      <c r="AJ79" s="1608" cm="1">
        <f t="array" ref="AJ79">IF(AJ78&gt;0,SUM((AJ74:AJ76)/21*AJ78)+AJ77)*AJ73</f>
        <v>0</v>
      </c>
      <c r="AK79" s="1608" cm="1">
        <f t="array" ref="AK79">IF(AK78&gt;0,SUM((AK74:AK76)/21*AK78)+AK77)*AK73</f>
        <v>0</v>
      </c>
      <c r="AL79" s="1608" cm="1">
        <f t="array" ref="AL79">IF(AL78&gt;0,SUM((AL74:AL76)/21*AL78)+AL77)*AL73</f>
        <v>0</v>
      </c>
      <c r="AM79" s="1608" cm="1">
        <f t="array" ref="AM79">IF(AM78&gt;0,SUM((AM74:AM76)/21*AM78)+AM77)*AM73</f>
        <v>0</v>
      </c>
      <c r="AN79" s="1608" cm="1">
        <f t="array" ref="AN79">IF(AN78&gt;0,SUM((AN74:AN76)/21*AN78)+AN77)*AN73</f>
        <v>0</v>
      </c>
      <c r="AO79" s="1608" cm="1">
        <f t="array" ref="AO79">IF(AO78&gt;0,SUM((AO74:AO76)/21*AO78)+AO77)*AO73</f>
        <v>0</v>
      </c>
      <c r="AP79" s="1608" cm="1">
        <f t="array" ref="AP79">IF(AP78&gt;0,SUM((AP74:AP76)/21*AP78)+AP77)*AP73</f>
        <v>0</v>
      </c>
      <c r="AQ79" s="1608" cm="1">
        <f t="array" ref="AQ79">IF(AQ78&gt;0,SUM((AQ74:AQ76)/21*AQ78)+AQ77)*AQ73</f>
        <v>0</v>
      </c>
      <c r="AR79" s="1353" cm="1">
        <f t="array" ref="AR79">IF(AR78&gt;0,SUM((AR74:AR76)/21*AR78)+AR77)*AR73</f>
        <v>0</v>
      </c>
      <c r="AS79" s="1353" cm="1">
        <f t="array" ref="AS79">IF(AS78&gt;0,SUM((AS74:AS76)/21*AS78)+AS77)*AS73</f>
        <v>0</v>
      </c>
      <c r="AT79" s="1353" cm="1">
        <f t="array" ref="AT79">IF(AT78&gt;0,SUM((AT74:AT76)/21*AT78)+AT77)*AT73</f>
        <v>0</v>
      </c>
      <c r="AU79" s="1353" cm="1">
        <f t="array" ref="AU79">IF(AU78&gt;0,SUM((AU74:AU76)/21*AU78)+AU77)*AU73</f>
        <v>0</v>
      </c>
      <c r="AV79" s="1353" cm="1">
        <f t="array" ref="AV79">IF(AV78&gt;0,SUM((AV74:AV76)/21*AV78)+AV77)*AV73</f>
        <v>0</v>
      </c>
      <c r="AW79" s="1353" cm="1">
        <f t="array" ref="AW79">IF(AW78&gt;0,SUM((AW74:AW76)/21*AW78)+AW77)*AW73</f>
        <v>0</v>
      </c>
      <c r="AX79" s="1353" cm="1">
        <f t="array" ref="AX79">IF(AX78&gt;0,SUM((AX74:AX76)/21*AX78)+AX77)*AX73</f>
        <v>0</v>
      </c>
      <c r="AY79" s="1353" cm="1">
        <f t="array" ref="AY79">IF(AY78&gt;0,SUM((AY74:AY76)/21*AY78)+AY77)*AY73</f>
        <v>0</v>
      </c>
      <c r="AZ79" s="1605"/>
      <c r="BA79" s="1605"/>
      <c r="BB79" s="1608" cm="1">
        <f t="array" ref="BB79">IF(BB78&gt;0,SUM((BB74:BB76)/21*BB78)+BB77)*BB73</f>
        <v>0</v>
      </c>
      <c r="BC79" s="1608" cm="1">
        <f t="array" ref="BC79">IF(BC78&gt;0,SUM((BC74:BC76)/21*BC78)+BC77)*BC73</f>
        <v>0</v>
      </c>
      <c r="BD79" s="1608" cm="1">
        <f t="array" ref="BD79">IF(BD78&gt;0,SUM((BD74:BD76)/21*BD78)+BD77)*BD73</f>
        <v>0</v>
      </c>
      <c r="BE79" s="1608" cm="1">
        <f t="array" ref="BE79">IF(BE78&gt;0,SUM((BE74:BE76)/21*BE78)+BE77)*BE73</f>
        <v>0</v>
      </c>
      <c r="BF79" s="1608" cm="1">
        <f t="array" ref="BF79">IF(BF78&gt;0,SUM((BF74:BF76)/21*BF78)+BF77)*BF73</f>
        <v>0</v>
      </c>
      <c r="BG79" s="1608" cm="1">
        <f t="array" ref="BG79">IF(BG78&gt;0,SUM((BG74:BG76)/21*BG78)+BG77)*BG73</f>
        <v>0</v>
      </c>
      <c r="BH79" s="1608" cm="1">
        <f t="array" ref="BH79">IF(BH78&gt;0,SUM((BH74:BH76)/21*BH78)+BH77)*BH73</f>
        <v>0</v>
      </c>
      <c r="BI79" s="1608" cm="1">
        <f t="array" ref="BI79">IF(BI78&gt;0,SUM((BI74:BI76)/21*BI78)+BI77)*BI73</f>
        <v>0</v>
      </c>
      <c r="BJ79" s="1608" cm="1">
        <f t="array" ref="BJ79">IF(BJ78&gt;0,SUM((BJ74:BJ76)/21*BJ78)+BJ77)*BJ73</f>
        <v>0</v>
      </c>
      <c r="BK79" s="1608" cm="1">
        <f t="array" ref="BK79">IF(BK78&gt;0,SUM((BK74:BK76)/21*BK78)+BK77)*BK73</f>
        <v>0</v>
      </c>
      <c r="BL79" s="1608" cm="1">
        <f t="array" ref="BL79">IF(BL78&gt;0,SUM((BL74:BL76)/21*BL78)+BL77)*BL73</f>
        <v>0</v>
      </c>
      <c r="BM79" s="1609"/>
      <c r="BN79" s="1609"/>
      <c r="BO79" s="1608" cm="1">
        <f t="array" ref="BO79">IF(BO78&gt;0,SUM((BO74:BO76)/21*BO78)+BO77)*BO73</f>
        <v>0</v>
      </c>
      <c r="BP79" s="1608" cm="1">
        <f t="array" ref="BP79">IF(BP78&gt;0,SUM((BP74:BP76)/21*BP78)+BP77)*BP73</f>
        <v>0</v>
      </c>
      <c r="BQ79" s="1608" cm="1">
        <f t="array" ref="BQ79">IF(BQ78&gt;0,SUM((BQ74:BQ76)/21*BQ78)+BQ77)*BQ73</f>
        <v>0</v>
      </c>
      <c r="BR79" s="1608" cm="1">
        <f t="array" ref="BR79">IF(BR78&gt;0,SUM((BR74:BR76)/21*BR78)+BR77)*BR73</f>
        <v>0</v>
      </c>
      <c r="BS79" s="1608" cm="1">
        <f t="array" ref="BS79">IF(BS78&gt;0,SUM((BS74:BS76)/21*BS78)+BS77)*BS73</f>
        <v>0</v>
      </c>
      <c r="BT79" s="1608" cm="1">
        <f t="array" ref="BT79">IF(BT78&gt;0,SUM((BT74:BT76)/21*BT78)+BT77)*BT73</f>
        <v>0</v>
      </c>
      <c r="BU79" s="1608" cm="1">
        <f t="array" ref="BU79">IF(BU78&gt;0,SUM((BU74:BU76)/21*BU78)+BU77)*BU73</f>
        <v>0</v>
      </c>
      <c r="BV79" s="1608" cm="1">
        <f t="array" ref="BV79">IF(BV78&gt;0,SUM((BV74:BV76)/21*BV78)+BV77)*BV73</f>
        <v>0</v>
      </c>
      <c r="BW79" s="1608" cm="1">
        <f t="array" ref="BW79">IF(BW78&gt;0,SUM((BW74:BW76)/21*BW78)+BW77)*BW73</f>
        <v>0</v>
      </c>
      <c r="BX79" s="1608" cm="1">
        <f t="array" ref="BX79">IF(BX78&gt;0,SUM((BX74:BX76)/21*BX78)+BX77)*BX73</f>
        <v>0</v>
      </c>
      <c r="BY79" s="1609"/>
      <c r="BZ79" s="1609"/>
      <c r="CA79" s="1608" cm="1">
        <f t="array" ref="CA79">IF(CA78&gt;0,SUM((CA74:CA76)/21*CA78)+CA77)*CA73</f>
        <v>0</v>
      </c>
      <c r="CB79" s="1608" cm="1">
        <f t="array" ref="CB79">IF(CB78&gt;0,SUM((CB74:CB76)/21*CB78)+CB77)*CB73</f>
        <v>0</v>
      </c>
      <c r="CC79" s="1608" cm="1">
        <f t="array" ref="CC79">IF(CC78&gt;0,SUM((CC74:CC76)/21*CC78)+CC77)*CC73</f>
        <v>0</v>
      </c>
      <c r="CD79" s="1608" cm="1">
        <f t="array" ref="CD79">IF(CD78&gt;0,SUM((CD74:CD76)/21*CD78)+CD77)*CD73</f>
        <v>0</v>
      </c>
      <c r="CE79" s="1608" cm="1">
        <f t="array" ref="CE79">IF(CE78&gt;0,SUM((CE74:CE76)/21*CE78)+CE77)*CE73</f>
        <v>0</v>
      </c>
      <c r="CF79" s="1608" cm="1">
        <f t="array" ref="CF79">IF(CF78&gt;0,SUM((CF74:CF76)/21*CF78)+CF77)*CF73</f>
        <v>0</v>
      </c>
      <c r="CG79" s="1608" cm="1">
        <f t="array" ref="CG79">IF(CG78&gt;0,SUM((CG74:CG76)/21*CG78)+CG77)*CG73</f>
        <v>0</v>
      </c>
      <c r="CH79" s="1608" cm="1">
        <f t="array" ref="CH79">IF(CH78&gt;0,SUM((CH74:CH76)/21*CH78)+CH77)*CH73</f>
        <v>0</v>
      </c>
      <c r="CI79" s="1604"/>
      <c r="CJ79" s="1604"/>
      <c r="CK79" s="1608" cm="1">
        <f t="array" ref="CK79">IF(CK78&gt;0,SUM((CK74:CK76)/21*CK78)+CK77)*CK73</f>
        <v>0</v>
      </c>
      <c r="CL79" s="1608" cm="1">
        <f t="array" ref="CL79">IF(CL78&gt;0,SUM((CL74:CL76)/21*CL78)+CL77)*CL73</f>
        <v>0</v>
      </c>
      <c r="CM79" s="1608" cm="1">
        <f t="array" ref="CM79">IF(CM78&gt;0,SUM((CM74:CM76)/21*CM78)+CM77)*CM73</f>
        <v>0</v>
      </c>
      <c r="CN79" s="1608" cm="1">
        <f t="array" ref="CN79">IF(CN78&gt;0,SUM((CN74:CN76)/21*CN78)+CN77)*CN73</f>
        <v>0</v>
      </c>
      <c r="CO79" s="1608" cm="1">
        <f t="array" ref="CO79">IF(CO78&gt;0,SUM((CO74:CO76)/21*CO78)+CO77)*CO73</f>
        <v>0</v>
      </c>
      <c r="CP79" s="1608" cm="1">
        <f t="array" ref="CP79">IF(CP78&gt;0,SUM((CP74:CP76)/21*CP78)+CP77)*CP73</f>
        <v>0</v>
      </c>
      <c r="CQ79" s="1608" cm="1">
        <f t="array" ref="CQ79">IF(CQ78&gt;0,SUM((CQ74:CQ76)/21*CQ78)+CQ77)*CQ73</f>
        <v>0</v>
      </c>
      <c r="CR79" s="1608" cm="1">
        <f t="array" ref="CR79">IF(CR78&gt;0,SUM((CR74:CR76)/21*CR78)+CR77)*CR73</f>
        <v>0</v>
      </c>
      <c r="CS79" s="1608" cm="1">
        <f t="array" ref="CS79">IF(CS78&gt;0,SUM((CS74:CS76)/21*CS78)+CS77)*CS73</f>
        <v>0</v>
      </c>
      <c r="CT79" s="1608" cm="1">
        <f t="array" ref="CT79">IF(CT78&gt;0,SUM((CT74:CT76)/21*CT78)+CT77)*CT73</f>
        <v>0</v>
      </c>
      <c r="CU79" s="1608" cm="1">
        <f t="array" ref="CU79">IF(CU78&gt;0,SUM((CU74:CU76)/21*CU78)+CU77)*CU73</f>
        <v>0</v>
      </c>
      <c r="CV79" s="1609"/>
      <c r="CW79" s="1609"/>
      <c r="CX79" s="1608" cm="1">
        <f t="array" ref="CX79">IF(CX78&gt;0,SUM((CX74:CX76)/21*CX78)+CX77)*CX73</f>
        <v>0</v>
      </c>
      <c r="CY79" s="1608" cm="1">
        <f t="array" ref="CY79">IF(CY78&gt;0,SUM((CY74:CY76)/21*CY78)+CY77)*CY73</f>
        <v>0</v>
      </c>
      <c r="CZ79" s="1608" cm="1">
        <f t="array" ref="CZ79">IF(CZ78&gt;0,SUM((CZ74:CZ76)/21*CZ78)+CZ77)*CZ73</f>
        <v>0</v>
      </c>
      <c r="DA79" s="1608" cm="1">
        <f t="array" ref="DA79">IF(DA78&gt;0,SUM((DA74:DA76)/21*DA78)+DA77)*DA73</f>
        <v>0</v>
      </c>
      <c r="DB79" s="1608" cm="1">
        <f t="array" ref="DB79">IF(DB78&gt;0,SUM((DB74:DB76)/21*DB78)+DB77)*DB73</f>
        <v>0</v>
      </c>
      <c r="DC79" s="1609"/>
      <c r="DD79" s="1609"/>
      <c r="DF79" s="481"/>
      <c r="DG79" s="499"/>
    </row>
    <row r="80" spans="1:134" ht="31" customHeight="1" thickBot="1">
      <c r="A80" s="3017">
        <f>'lon undervisning'!A93</f>
        <v>2026</v>
      </c>
      <c r="B80" s="1610" t="str">
        <f>'lon undervisning'!B93</f>
        <v>Antal skyldige feriedage og særlige feriedage pr. 31.12.2026. (Anvendes til feriepengeforpligtigelse)</v>
      </c>
      <c r="C80" s="1355"/>
      <c r="D80" s="1355"/>
      <c r="E80" s="1603"/>
      <c r="F80" s="1603"/>
      <c r="G80" s="1603"/>
      <c r="H80" s="1355"/>
      <c r="I80" s="1355"/>
      <c r="J80" s="1355"/>
      <c r="K80" s="1355"/>
      <c r="L80" s="1355"/>
      <c r="M80" s="1355"/>
      <c r="N80" s="1355"/>
      <c r="O80" s="1355"/>
      <c r="P80" s="1355"/>
      <c r="Q80" s="1355"/>
      <c r="R80" s="1355"/>
      <c r="S80" s="1355"/>
      <c r="T80" s="1355"/>
      <c r="U80" s="1355"/>
      <c r="V80" s="1357"/>
      <c r="W80" s="1357"/>
      <c r="X80" s="1603"/>
      <c r="Y80" s="1603"/>
      <c r="Z80" s="1355"/>
      <c r="AA80" s="1603"/>
      <c r="AB80" s="1603"/>
      <c r="AC80" s="1603"/>
      <c r="AD80" s="1603"/>
      <c r="AE80" s="1603"/>
      <c r="AF80" s="1603"/>
      <c r="AG80" s="1355"/>
      <c r="AH80" s="1355"/>
      <c r="AI80" s="1355"/>
      <c r="AJ80" s="1355"/>
      <c r="AK80" s="1355"/>
      <c r="AL80" s="1355"/>
      <c r="AM80" s="1355"/>
      <c r="AN80" s="1355"/>
      <c r="AO80" s="1355"/>
      <c r="AP80" s="1355"/>
      <c r="AQ80" s="1355"/>
      <c r="AR80" s="2275"/>
      <c r="AS80" s="2275"/>
      <c r="AT80" s="2275"/>
      <c r="AU80" s="2275"/>
      <c r="AV80" s="2275"/>
      <c r="AW80" s="2275"/>
      <c r="AX80" s="2275"/>
      <c r="AY80" s="2275"/>
      <c r="AZ80" s="1357"/>
      <c r="BA80" s="1357"/>
      <c r="BB80" s="1355"/>
      <c r="BC80" s="1355"/>
      <c r="BD80" s="1355"/>
      <c r="BE80" s="1355"/>
      <c r="BF80" s="1355"/>
      <c r="BG80" s="1355"/>
      <c r="BH80" s="1355"/>
      <c r="BI80" s="1355"/>
      <c r="BJ80" s="1355"/>
      <c r="BK80" s="1355"/>
      <c r="BL80" s="1355"/>
      <c r="BM80" s="1357"/>
      <c r="BN80" s="1357"/>
      <c r="BO80" s="1355"/>
      <c r="BP80" s="1355"/>
      <c r="BQ80" s="1355"/>
      <c r="BR80" s="1355"/>
      <c r="BS80" s="1355"/>
      <c r="BT80" s="1355"/>
      <c r="BU80" s="1355"/>
      <c r="BV80" s="1355"/>
      <c r="BW80" s="1355"/>
      <c r="BX80" s="1355"/>
      <c r="BY80" s="1357"/>
      <c r="BZ80" s="1357"/>
      <c r="CA80" s="1355"/>
      <c r="CB80" s="1355"/>
      <c r="CC80" s="1355"/>
      <c r="CD80" s="1355"/>
      <c r="CE80" s="1355"/>
      <c r="CF80" s="1355"/>
      <c r="CG80" s="1355"/>
      <c r="CH80" s="1355"/>
      <c r="CI80" s="1358"/>
      <c r="CJ80" s="1358"/>
      <c r="CK80" s="1355"/>
      <c r="CL80" s="1355"/>
      <c r="CM80" s="1355"/>
      <c r="CN80" s="1355"/>
      <c r="CO80" s="1355"/>
      <c r="CP80" s="1355"/>
      <c r="CQ80" s="1355"/>
      <c r="CR80" s="1355"/>
      <c r="CS80" s="1355"/>
      <c r="CT80" s="1355"/>
      <c r="CU80" s="1355"/>
      <c r="CV80" s="1358"/>
      <c r="CW80" s="1358"/>
      <c r="CX80" s="1355"/>
      <c r="CY80" s="1355"/>
      <c r="CZ80" s="1355"/>
      <c r="DA80" s="1355"/>
      <c r="DB80" s="1355"/>
      <c r="DC80" s="1358"/>
      <c r="DD80" s="1358"/>
      <c r="DF80" s="482"/>
      <c r="DG80" s="1611"/>
    </row>
    <row r="81" spans="1:111" ht="29" customHeight="1" thickBot="1">
      <c r="A81" s="3135"/>
      <c r="B81" s="1612" t="str">
        <f>'lon undervisning'!B94</f>
        <v>Feriepengeforpligtigelse 2026</v>
      </c>
      <c r="C81" s="1613">
        <f>IF(C80&gt;0,((C48/21*C80)+((C42*4)*2.02%))*C73,0)</f>
        <v>0</v>
      </c>
      <c r="D81" s="1613">
        <f t="shared" ref="D81:U81" si="359">IF(D80&gt;0,((D48/21*D80)+((D42*4)*2.02%))*D73,0)</f>
        <v>0</v>
      </c>
      <c r="E81" s="1613">
        <f t="shared" si="359"/>
        <v>0</v>
      </c>
      <c r="F81" s="1613">
        <f t="shared" ref="F81" si="360">IF(F80&gt;0,((F48/21*F80)+((F42*4)*2.02%))*F73,0)</f>
        <v>0</v>
      </c>
      <c r="G81" s="1613">
        <f t="shared" si="359"/>
        <v>0</v>
      </c>
      <c r="H81" s="1613">
        <f t="shared" si="359"/>
        <v>0</v>
      </c>
      <c r="I81" s="1613">
        <f t="shared" si="359"/>
        <v>0</v>
      </c>
      <c r="J81" s="1613">
        <f t="shared" si="359"/>
        <v>0</v>
      </c>
      <c r="K81" s="1613">
        <f t="shared" si="359"/>
        <v>0</v>
      </c>
      <c r="L81" s="1613">
        <f t="shared" si="359"/>
        <v>0</v>
      </c>
      <c r="M81" s="1613">
        <f t="shared" si="359"/>
        <v>0</v>
      </c>
      <c r="N81" s="1613">
        <f t="shared" si="359"/>
        <v>0</v>
      </c>
      <c r="O81" s="1613">
        <f t="shared" si="359"/>
        <v>0</v>
      </c>
      <c r="P81" s="1613">
        <f t="shared" si="359"/>
        <v>0</v>
      </c>
      <c r="Q81" s="1613">
        <f t="shared" si="359"/>
        <v>0</v>
      </c>
      <c r="R81" s="1613">
        <f t="shared" si="359"/>
        <v>0</v>
      </c>
      <c r="S81" s="1613">
        <f t="shared" si="359"/>
        <v>0</v>
      </c>
      <c r="T81" s="1613">
        <f t="shared" si="359"/>
        <v>0</v>
      </c>
      <c r="U81" s="1613">
        <f t="shared" si="359"/>
        <v>0</v>
      </c>
      <c r="V81" s="1613">
        <f>V54*15%*V73</f>
        <v>0</v>
      </c>
      <c r="W81" s="1613">
        <f>W54*15%*W73</f>
        <v>0</v>
      </c>
      <c r="X81" s="1613">
        <f>IF(X80&gt;0,((X48/21*X80)+((X42*4)*2.02%))*X73,0)</f>
        <v>0</v>
      </c>
      <c r="Y81" s="1613">
        <f>IF(Y80&gt;0,((Y48/21*Y80)+((Y42*4)*2.02%))*Y73,0)</f>
        <v>0</v>
      </c>
      <c r="Z81" s="1613">
        <f t="shared" ref="Z81:AJ81" si="361">IF(Z80&gt;0,((Z48/21*Z80)+((Z42*4)*2.02%))*Z73,0)</f>
        <v>0</v>
      </c>
      <c r="AA81" s="1613">
        <f t="shared" si="361"/>
        <v>0</v>
      </c>
      <c r="AB81" s="1613">
        <f t="shared" si="361"/>
        <v>0</v>
      </c>
      <c r="AC81" s="1613">
        <f t="shared" si="361"/>
        <v>0</v>
      </c>
      <c r="AD81" s="1613">
        <f t="shared" si="361"/>
        <v>0</v>
      </c>
      <c r="AE81" s="1613">
        <f t="shared" ref="AE81" si="362">IF(AE80&gt;0,((AE48/21*AE80)+((AE42*4)*2.02%))*AE73,0)</f>
        <v>0</v>
      </c>
      <c r="AF81" s="1613">
        <f t="shared" si="361"/>
        <v>0</v>
      </c>
      <c r="AG81" s="1613">
        <f t="shared" si="361"/>
        <v>0</v>
      </c>
      <c r="AH81" s="1613">
        <f t="shared" si="361"/>
        <v>0</v>
      </c>
      <c r="AI81" s="1613">
        <f t="shared" si="361"/>
        <v>0</v>
      </c>
      <c r="AJ81" s="1613">
        <f t="shared" si="361"/>
        <v>0</v>
      </c>
      <c r="AK81" s="1613">
        <f t="shared" ref="AK81" si="363">IF(AK80&gt;0,((AK48/21*AK80)+((AK42*4)*2.02%))*AK73,0)</f>
        <v>0</v>
      </c>
      <c r="AL81" s="1613">
        <f t="shared" ref="AL81" si="364">IF(AL80&gt;0,((AL48/21*AL80)+((AL42*4)*2.02%))*AL73,0)</f>
        <v>0</v>
      </c>
      <c r="AM81" s="1613">
        <f t="shared" ref="AM81" si="365">IF(AM80&gt;0,((AM48/21*AM80)+((AM42*4)*2.02%))*AM73,0)</f>
        <v>0</v>
      </c>
      <c r="AN81" s="1613">
        <f t="shared" ref="AN81" si="366">IF(AN80&gt;0,((AN48/21*AN80)+((AN42*4)*2.02%))*AN73,0)</f>
        <v>0</v>
      </c>
      <c r="AO81" s="1613">
        <f t="shared" ref="AO81" si="367">IF(AO80&gt;0,((AO48/21*AO80)+((AO42*4)*2.02%))*AO73,0)</f>
        <v>0</v>
      </c>
      <c r="AP81" s="1613">
        <f t="shared" ref="AP81" si="368">IF(AP80&gt;0,((AP48/21*AP80)+((AP42*4)*2.02%))*AP73,0)</f>
        <v>0</v>
      </c>
      <c r="AQ81" s="1613">
        <f t="shared" ref="AQ81:AY81" si="369">IF(AQ80&gt;0,((AQ48/21*AQ80)+((AQ42*4)*2.02%))*AQ73,0)</f>
        <v>0</v>
      </c>
      <c r="AR81" s="1361">
        <f t="shared" si="369"/>
        <v>0</v>
      </c>
      <c r="AS81" s="1361">
        <f t="shared" si="369"/>
        <v>0</v>
      </c>
      <c r="AT81" s="1361">
        <f t="shared" si="369"/>
        <v>0</v>
      </c>
      <c r="AU81" s="1361">
        <f t="shared" si="369"/>
        <v>0</v>
      </c>
      <c r="AV81" s="1361">
        <f t="shared" si="369"/>
        <v>0</v>
      </c>
      <c r="AW81" s="1361">
        <f t="shared" si="369"/>
        <v>0</v>
      </c>
      <c r="AX81" s="1361">
        <f t="shared" si="369"/>
        <v>0</v>
      </c>
      <c r="AY81" s="1361">
        <f t="shared" si="369"/>
        <v>0</v>
      </c>
      <c r="AZ81" s="1613">
        <f>AZ54*15%*AZ73</f>
        <v>0</v>
      </c>
      <c r="BA81" s="1613">
        <f>BA54*15%*BA73</f>
        <v>0</v>
      </c>
      <c r="BB81" s="1613">
        <f>IF(BB80&gt;0,((BB48/21*BB80)+((BB42*4)*2.02%))*BB73,0)</f>
        <v>0</v>
      </c>
      <c r="BC81" s="1613">
        <f>IF(BC80&gt;0,((BC48/21*BC80)+((BC42*4)*2.02%))*BC73,0)</f>
        <v>0</v>
      </c>
      <c r="BD81" s="1613">
        <f t="shared" ref="BD81:BL81" si="370">IF(BD80&gt;0,((BD48/21*BD80)+((BD42*4)*2.02%))*BD73,0)</f>
        <v>0</v>
      </c>
      <c r="BE81" s="1613">
        <f t="shared" si="370"/>
        <v>0</v>
      </c>
      <c r="BF81" s="1613">
        <f t="shared" si="370"/>
        <v>0</v>
      </c>
      <c r="BG81" s="1613">
        <f t="shared" si="370"/>
        <v>0</v>
      </c>
      <c r="BH81" s="1613">
        <f t="shared" si="370"/>
        <v>0</v>
      </c>
      <c r="BI81" s="1613">
        <f t="shared" si="370"/>
        <v>0</v>
      </c>
      <c r="BJ81" s="1613">
        <f t="shared" si="370"/>
        <v>0</v>
      </c>
      <c r="BK81" s="1613">
        <f t="shared" si="370"/>
        <v>0</v>
      </c>
      <c r="BL81" s="1613">
        <f t="shared" si="370"/>
        <v>0</v>
      </c>
      <c r="BM81" s="1613">
        <f>BM54*15%*BM73</f>
        <v>0</v>
      </c>
      <c r="BN81" s="1613">
        <f>BN54*15%*BN73</f>
        <v>0</v>
      </c>
      <c r="BO81" s="1613">
        <f>IF(BO80&gt;0,((BO48/21*BO80)+((BO42*4)*2.02%))*BO73,0)</f>
        <v>0</v>
      </c>
      <c r="BP81" s="1613">
        <f t="shared" ref="BP81:BX81" si="371">IF(BP80&gt;0,((BP48/21*BP80)+((BP42*4)*2.02%))*BP73,0)</f>
        <v>0</v>
      </c>
      <c r="BQ81" s="1613">
        <f t="shared" si="371"/>
        <v>0</v>
      </c>
      <c r="BR81" s="1613">
        <f t="shared" si="371"/>
        <v>0</v>
      </c>
      <c r="BS81" s="1613">
        <f t="shared" si="371"/>
        <v>0</v>
      </c>
      <c r="BT81" s="1613">
        <f t="shared" si="371"/>
        <v>0</v>
      </c>
      <c r="BU81" s="1613">
        <f t="shared" si="371"/>
        <v>0</v>
      </c>
      <c r="BV81" s="1613">
        <f t="shared" si="371"/>
        <v>0</v>
      </c>
      <c r="BW81" s="1613">
        <f t="shared" si="371"/>
        <v>0</v>
      </c>
      <c r="BX81" s="1613">
        <f t="shared" si="371"/>
        <v>0</v>
      </c>
      <c r="BY81" s="1613">
        <f>BY54*15%*BY73</f>
        <v>0</v>
      </c>
      <c r="BZ81" s="1613">
        <f>BZ54*15%*BZ73</f>
        <v>0</v>
      </c>
      <c r="CA81" s="1613">
        <f>IF(CA80&gt;0,((CA48/21*CA80)+((CA42*4)*2.02%))*CA73,0)</f>
        <v>0</v>
      </c>
      <c r="CB81" s="1613">
        <f t="shared" ref="CB81:CH81" si="372">IF(CB80&gt;0,((CB48/21*CB80)+((CB42*4)*2.02%))*CB73,0)</f>
        <v>0</v>
      </c>
      <c r="CC81" s="1613">
        <f t="shared" si="372"/>
        <v>0</v>
      </c>
      <c r="CD81" s="1613">
        <f t="shared" si="372"/>
        <v>0</v>
      </c>
      <c r="CE81" s="1613">
        <f t="shared" si="372"/>
        <v>0</v>
      </c>
      <c r="CF81" s="1613">
        <f t="shared" si="372"/>
        <v>0</v>
      </c>
      <c r="CG81" s="1613">
        <f t="shared" si="372"/>
        <v>0</v>
      </c>
      <c r="CH81" s="1613">
        <f t="shared" si="372"/>
        <v>0</v>
      </c>
      <c r="CI81" s="1613">
        <f>CI54*15%*CI73</f>
        <v>0</v>
      </c>
      <c r="CJ81" s="1613">
        <f>CJ54*15%*CJ73</f>
        <v>0</v>
      </c>
      <c r="CK81" s="1613">
        <f>IF(CK80&gt;0,((CK48/21*CK80)+((CK42*4)*2.02%))*CK73,0)</f>
        <v>0</v>
      </c>
      <c r="CL81" s="1613">
        <f t="shared" ref="CL81:CU81" si="373">IF(CL80&gt;0,((CL48/21*CL80)+((CL42*4)*2.02%))*CL73,0)</f>
        <v>0</v>
      </c>
      <c r="CM81" s="1613">
        <f t="shared" si="373"/>
        <v>0</v>
      </c>
      <c r="CN81" s="1613">
        <f t="shared" si="373"/>
        <v>0</v>
      </c>
      <c r="CO81" s="1613">
        <f t="shared" si="373"/>
        <v>0</v>
      </c>
      <c r="CP81" s="1613">
        <f t="shared" si="373"/>
        <v>0</v>
      </c>
      <c r="CQ81" s="1613">
        <f t="shared" si="373"/>
        <v>0</v>
      </c>
      <c r="CR81" s="1613">
        <f t="shared" si="373"/>
        <v>0</v>
      </c>
      <c r="CS81" s="1613">
        <f t="shared" si="373"/>
        <v>0</v>
      </c>
      <c r="CT81" s="1613">
        <f t="shared" si="373"/>
        <v>0</v>
      </c>
      <c r="CU81" s="1613">
        <f t="shared" si="373"/>
        <v>0</v>
      </c>
      <c r="CV81" s="1613">
        <f>CV54*15%*CV73</f>
        <v>0</v>
      </c>
      <c r="CW81" s="1613">
        <f>CW54*15%*CW73</f>
        <v>0</v>
      </c>
      <c r="CX81" s="1613">
        <f>IF(CX80&gt;0,((CX48/21*CX80)+((CX42*4)*2.02%))*CX73,0)</f>
        <v>0</v>
      </c>
      <c r="CY81" s="1613">
        <f t="shared" ref="CY81:DB81" si="374">IF(CY80&gt;0,((CY48/21*CY80)+((CY42*4)*2.02%))*CY73,0)</f>
        <v>0</v>
      </c>
      <c r="CZ81" s="1613">
        <f t="shared" si="374"/>
        <v>0</v>
      </c>
      <c r="DA81" s="1613">
        <f t="shared" si="374"/>
        <v>0</v>
      </c>
      <c r="DB81" s="1613">
        <f t="shared" si="374"/>
        <v>0</v>
      </c>
      <c r="DC81" s="1613">
        <f>DC54*15%*DC73</f>
        <v>0</v>
      </c>
      <c r="DD81" s="1613">
        <f>DD54*15%*DD73</f>
        <v>0</v>
      </c>
      <c r="DF81" s="500"/>
      <c r="DG81" s="501"/>
    </row>
    <row r="82" spans="1:111" ht="27" customHeight="1" thickBot="1">
      <c r="A82" s="3141">
        <f>'lon undervisning'!A95</f>
        <v>2027</v>
      </c>
      <c r="B82" s="1614" t="str">
        <f>'lon undervisning'!B95</f>
        <v>Antal skyldige feriedage og særlige feriedage pr. 31.12.2027. (Anvendes til feriepengeforpligtigelse)</v>
      </c>
      <c r="C82" s="1355"/>
      <c r="D82" s="1355"/>
      <c r="E82" s="1603"/>
      <c r="F82" s="1603"/>
      <c r="G82" s="1603"/>
      <c r="H82" s="1355"/>
      <c r="I82" s="1355"/>
      <c r="J82" s="1355"/>
      <c r="K82" s="1355"/>
      <c r="L82" s="1355"/>
      <c r="M82" s="1355"/>
      <c r="N82" s="1355"/>
      <c r="O82" s="1355"/>
      <c r="P82" s="1355"/>
      <c r="Q82" s="1355"/>
      <c r="R82" s="1355"/>
      <c r="S82" s="1355"/>
      <c r="T82" s="1355"/>
      <c r="U82" s="1355"/>
      <c r="V82" s="1357"/>
      <c r="W82" s="1357"/>
      <c r="X82" s="1603"/>
      <c r="Y82" s="1603"/>
      <c r="Z82" s="1355"/>
      <c r="AA82" s="1603"/>
      <c r="AB82" s="1603"/>
      <c r="AC82" s="1603"/>
      <c r="AD82" s="1603"/>
      <c r="AE82" s="1603"/>
      <c r="AF82" s="1603"/>
      <c r="AG82" s="1355"/>
      <c r="AH82" s="1355"/>
      <c r="AI82" s="1355"/>
      <c r="AJ82" s="1355"/>
      <c r="AK82" s="1355"/>
      <c r="AL82" s="1355"/>
      <c r="AM82" s="1355"/>
      <c r="AN82" s="1355"/>
      <c r="AO82" s="1355"/>
      <c r="AP82" s="1355"/>
      <c r="AQ82" s="1355"/>
      <c r="AR82" s="2275"/>
      <c r="AS82" s="2275"/>
      <c r="AT82" s="2275"/>
      <c r="AU82" s="2275"/>
      <c r="AV82" s="2275"/>
      <c r="AW82" s="2275"/>
      <c r="AX82" s="2275"/>
      <c r="AY82" s="2275"/>
      <c r="AZ82" s="1357"/>
      <c r="BA82" s="1357"/>
      <c r="BB82" s="1355"/>
      <c r="BC82" s="1355"/>
      <c r="BD82" s="1355"/>
      <c r="BE82" s="1355"/>
      <c r="BF82" s="1355"/>
      <c r="BG82" s="1355"/>
      <c r="BH82" s="1355"/>
      <c r="BI82" s="1355"/>
      <c r="BJ82" s="1355"/>
      <c r="BK82" s="1355"/>
      <c r="BL82" s="1355"/>
      <c r="BM82" s="1357"/>
      <c r="BN82" s="1357"/>
      <c r="BO82" s="1355"/>
      <c r="BP82" s="1355"/>
      <c r="BQ82" s="1355"/>
      <c r="BR82" s="1355"/>
      <c r="BS82" s="1355"/>
      <c r="BT82" s="1355"/>
      <c r="BU82" s="1355"/>
      <c r="BV82" s="1355"/>
      <c r="BW82" s="1355"/>
      <c r="BX82" s="1355"/>
      <c r="BY82" s="1357"/>
      <c r="BZ82" s="1357"/>
      <c r="CA82" s="1355"/>
      <c r="CB82" s="1355"/>
      <c r="CC82" s="1355"/>
      <c r="CD82" s="1355"/>
      <c r="CE82" s="1355"/>
      <c r="CF82" s="1355"/>
      <c r="CG82" s="1355"/>
      <c r="CH82" s="1355"/>
      <c r="CI82" s="1358"/>
      <c r="CJ82" s="1358"/>
      <c r="CK82" s="1355"/>
      <c r="CL82" s="1355"/>
      <c r="CM82" s="1355"/>
      <c r="CN82" s="1355"/>
      <c r="CO82" s="1355"/>
      <c r="CP82" s="1355"/>
      <c r="CQ82" s="1355"/>
      <c r="CR82" s="1355"/>
      <c r="CS82" s="1355"/>
      <c r="CT82" s="1355"/>
      <c r="CU82" s="1355"/>
      <c r="CV82" s="1357"/>
      <c r="CW82" s="1357"/>
      <c r="CX82" s="1355"/>
      <c r="CY82" s="1355"/>
      <c r="CZ82" s="1355"/>
      <c r="DA82" s="1355"/>
      <c r="DB82" s="1355"/>
      <c r="DC82" s="1357"/>
      <c r="DD82" s="1357"/>
      <c r="DF82" s="482"/>
      <c r="DG82" s="1611"/>
    </row>
    <row r="83" spans="1:111" ht="28" customHeight="1" thickBot="1">
      <c r="A83" s="3141"/>
      <c r="B83" s="1614" t="str">
        <f>'lon undervisning'!B96</f>
        <v>Feriepengeforpligtigelse 2027</v>
      </c>
      <c r="C83" s="1615">
        <f t="shared" ref="C83:U83" si="375">IF(C82&gt;0,((C48/21*C82)+((C42*4)*2.02%))*C73*(1+fremskrivning),0)</f>
        <v>0</v>
      </c>
      <c r="D83" s="1615">
        <f t="shared" si="375"/>
        <v>0</v>
      </c>
      <c r="E83" s="1615">
        <f t="shared" si="375"/>
        <v>0</v>
      </c>
      <c r="F83" s="1615">
        <f t="shared" ref="F83" si="376">IF(F82&gt;0,((F48/21*F82)+((F42*4)*2.02%))*F73*(1+fremskrivning),0)</f>
        <v>0</v>
      </c>
      <c r="G83" s="1615">
        <f t="shared" si="375"/>
        <v>0</v>
      </c>
      <c r="H83" s="1615">
        <f t="shared" si="375"/>
        <v>0</v>
      </c>
      <c r="I83" s="1615">
        <f t="shared" si="375"/>
        <v>0</v>
      </c>
      <c r="J83" s="1615">
        <f t="shared" si="375"/>
        <v>0</v>
      </c>
      <c r="K83" s="1615">
        <f t="shared" si="375"/>
        <v>0</v>
      </c>
      <c r="L83" s="1615">
        <f t="shared" si="375"/>
        <v>0</v>
      </c>
      <c r="M83" s="1615">
        <f t="shared" si="375"/>
        <v>0</v>
      </c>
      <c r="N83" s="1615">
        <f t="shared" si="375"/>
        <v>0</v>
      </c>
      <c r="O83" s="1615">
        <f t="shared" si="375"/>
        <v>0</v>
      </c>
      <c r="P83" s="1615">
        <f t="shared" si="375"/>
        <v>0</v>
      </c>
      <c r="Q83" s="1615">
        <f t="shared" si="375"/>
        <v>0</v>
      </c>
      <c r="R83" s="1615">
        <f t="shared" si="375"/>
        <v>0</v>
      </c>
      <c r="S83" s="1615">
        <f t="shared" si="375"/>
        <v>0</v>
      </c>
      <c r="T83" s="1615">
        <f t="shared" si="375"/>
        <v>0</v>
      </c>
      <c r="U83" s="1615">
        <f t="shared" si="375"/>
        <v>0</v>
      </c>
      <c r="V83" s="1615">
        <f>V55*15%*V73</f>
        <v>0</v>
      </c>
      <c r="W83" s="1615">
        <f>W55*15%*W73</f>
        <v>0</v>
      </c>
      <c r="X83" s="1615">
        <f t="shared" ref="X83:AQ83" si="377">IF(X82&gt;0,((X48/21*X82)+((X42*4)*2.02%))*X73*(1+fremskrivning),0)</f>
        <v>0</v>
      </c>
      <c r="Y83" s="1615">
        <f t="shared" ref="Y83" si="378">IF(Y82&gt;0,((Y48/21*Y82)+((Y42*4)*2.02%))*Y73*(1+fremskrivning),0)</f>
        <v>0</v>
      </c>
      <c r="Z83" s="1615">
        <f t="shared" si="377"/>
        <v>0</v>
      </c>
      <c r="AA83" s="1615">
        <f t="shared" si="377"/>
        <v>0</v>
      </c>
      <c r="AB83" s="1615">
        <f t="shared" si="377"/>
        <v>0</v>
      </c>
      <c r="AC83" s="1615">
        <f t="shared" si="377"/>
        <v>0</v>
      </c>
      <c r="AD83" s="1615">
        <f t="shared" si="377"/>
        <v>0</v>
      </c>
      <c r="AE83" s="1615">
        <f t="shared" ref="AE83" si="379">IF(AE82&gt;0,((AE48/21*AE82)+((AE42*4)*2.02%))*AE73*(1+fremskrivning),0)</f>
        <v>0</v>
      </c>
      <c r="AF83" s="1615">
        <f t="shared" si="377"/>
        <v>0</v>
      </c>
      <c r="AG83" s="1615">
        <f t="shared" si="377"/>
        <v>0</v>
      </c>
      <c r="AH83" s="1615">
        <f t="shared" si="377"/>
        <v>0</v>
      </c>
      <c r="AI83" s="1615">
        <f t="shared" si="377"/>
        <v>0</v>
      </c>
      <c r="AJ83" s="1615">
        <f t="shared" si="377"/>
        <v>0</v>
      </c>
      <c r="AK83" s="1615">
        <f t="shared" si="377"/>
        <v>0</v>
      </c>
      <c r="AL83" s="1615">
        <f t="shared" si="377"/>
        <v>0</v>
      </c>
      <c r="AM83" s="1615">
        <f t="shared" si="377"/>
        <v>0</v>
      </c>
      <c r="AN83" s="1615">
        <f t="shared" si="377"/>
        <v>0</v>
      </c>
      <c r="AO83" s="1615">
        <f t="shared" si="377"/>
        <v>0</v>
      </c>
      <c r="AP83" s="1615">
        <f t="shared" si="377"/>
        <v>0</v>
      </c>
      <c r="AQ83" s="1615">
        <f t="shared" si="377"/>
        <v>0</v>
      </c>
      <c r="AR83" s="2093">
        <f t="shared" ref="AR83:AY83" si="380">IF(AR82&gt;0,((AR48/21*AR82)+((AR42*4)*2.02%))*AR73*(1+fremskrivning),0)</f>
        <v>0</v>
      </c>
      <c r="AS83" s="2093">
        <f t="shared" si="380"/>
        <v>0</v>
      </c>
      <c r="AT83" s="2093">
        <f t="shared" ref="AT83" si="381">IF(AT82&gt;0,((AT48/21*AT82)+((AT42*4)*2.02%))*AT73*(1+fremskrivning),0)</f>
        <v>0</v>
      </c>
      <c r="AU83" s="2093">
        <f t="shared" si="380"/>
        <v>0</v>
      </c>
      <c r="AV83" s="2093">
        <f t="shared" ref="AV83:AW83" si="382">IF(AV82&gt;0,((AV48/21*AV82)+((AV42*4)*2.02%))*AV73*(1+fremskrivning),0)</f>
        <v>0</v>
      </c>
      <c r="AW83" s="2093">
        <f t="shared" si="382"/>
        <v>0</v>
      </c>
      <c r="AX83" s="2093">
        <f t="shared" ref="AX83" si="383">IF(AX82&gt;0,((AX48/21*AX82)+((AX42*4)*2.02%))*AX73*(1+fremskrivning),0)</f>
        <v>0</v>
      </c>
      <c r="AY83" s="2093">
        <f t="shared" si="380"/>
        <v>0</v>
      </c>
      <c r="AZ83" s="1615">
        <f>AZ55*15%*AZ73</f>
        <v>0</v>
      </c>
      <c r="BA83" s="1615">
        <f>BA55*15%*BA73</f>
        <v>0</v>
      </c>
      <c r="BB83" s="1615">
        <f t="shared" ref="BB83:BL83" si="384">IF(BB82&gt;0,((BB48/21*BB82)+((BB42*4)*2.02%))*BB73*(1+fremskrivning),0)</f>
        <v>0</v>
      </c>
      <c r="BC83" s="1615">
        <f t="shared" ref="BC83" si="385">IF(BC82&gt;0,((BC48/21*BC82)+((BC42*4)*2.02%))*BC73*(1+fremskrivning),0)</f>
        <v>0</v>
      </c>
      <c r="BD83" s="1615">
        <f t="shared" si="384"/>
        <v>0</v>
      </c>
      <c r="BE83" s="1615">
        <f t="shared" si="384"/>
        <v>0</v>
      </c>
      <c r="BF83" s="1615">
        <f t="shared" si="384"/>
        <v>0</v>
      </c>
      <c r="BG83" s="1615">
        <f t="shared" si="384"/>
        <v>0</v>
      </c>
      <c r="BH83" s="1615">
        <f t="shared" si="384"/>
        <v>0</v>
      </c>
      <c r="BI83" s="1615">
        <f t="shared" si="384"/>
        <v>0</v>
      </c>
      <c r="BJ83" s="1615">
        <f t="shared" si="384"/>
        <v>0</v>
      </c>
      <c r="BK83" s="1615">
        <f t="shared" si="384"/>
        <v>0</v>
      </c>
      <c r="BL83" s="1615">
        <f t="shared" si="384"/>
        <v>0</v>
      </c>
      <c r="BM83" s="1615">
        <f>BM55*15%*BM73</f>
        <v>0</v>
      </c>
      <c r="BN83" s="1615">
        <f>BN55*15%*BN73</f>
        <v>0</v>
      </c>
      <c r="BO83" s="1615">
        <f t="shared" ref="BO83:BX83" si="386">IF(BO82&gt;0,((BO48/21*BO82)+((BO42*4)*2.02%))*BO73*(1+fremskrivning),0)</f>
        <v>0</v>
      </c>
      <c r="BP83" s="1615">
        <f t="shared" si="386"/>
        <v>0</v>
      </c>
      <c r="BQ83" s="1615">
        <f t="shared" si="386"/>
        <v>0</v>
      </c>
      <c r="BR83" s="1615">
        <f t="shared" si="386"/>
        <v>0</v>
      </c>
      <c r="BS83" s="1615">
        <f t="shared" si="386"/>
        <v>0</v>
      </c>
      <c r="BT83" s="1615">
        <f t="shared" si="386"/>
        <v>0</v>
      </c>
      <c r="BU83" s="1615">
        <f t="shared" si="386"/>
        <v>0</v>
      </c>
      <c r="BV83" s="1615">
        <f t="shared" si="386"/>
        <v>0</v>
      </c>
      <c r="BW83" s="1615">
        <f t="shared" si="386"/>
        <v>0</v>
      </c>
      <c r="BX83" s="1615">
        <f t="shared" si="386"/>
        <v>0</v>
      </c>
      <c r="BY83" s="1615">
        <f>BY55*15%*BY73</f>
        <v>0</v>
      </c>
      <c r="BZ83" s="1615">
        <f>BZ55*15%*BZ73</f>
        <v>0</v>
      </c>
      <c r="CA83" s="1615">
        <f t="shared" ref="CA83:CH83" si="387">IF(CA82&gt;0,((CA48/21*CA82)+((CA42*4)*1.5%))*CA73*(1+fremskrivning),0)</f>
        <v>0</v>
      </c>
      <c r="CB83" s="1615">
        <f t="shared" si="387"/>
        <v>0</v>
      </c>
      <c r="CC83" s="1615">
        <f t="shared" si="387"/>
        <v>0</v>
      </c>
      <c r="CD83" s="1615">
        <f t="shared" si="387"/>
        <v>0</v>
      </c>
      <c r="CE83" s="1615">
        <f t="shared" si="387"/>
        <v>0</v>
      </c>
      <c r="CF83" s="1615">
        <f t="shared" si="387"/>
        <v>0</v>
      </c>
      <c r="CG83" s="1615">
        <f t="shared" si="387"/>
        <v>0</v>
      </c>
      <c r="CH83" s="1615">
        <f t="shared" si="387"/>
        <v>0</v>
      </c>
      <c r="CI83" s="1615">
        <f>CI55*15%*CI73</f>
        <v>0</v>
      </c>
      <c r="CJ83" s="1615">
        <f>CJ55*15%*CJ73</f>
        <v>0</v>
      </c>
      <c r="CK83" s="1615">
        <f t="shared" ref="CK83:CU83" si="388">IF(CK82&gt;0,((CK48/21*CK82)+((CK42*4)*2.02%))*CK73*(1+fremskrivning),0)</f>
        <v>0</v>
      </c>
      <c r="CL83" s="1615">
        <f t="shared" si="388"/>
        <v>0</v>
      </c>
      <c r="CM83" s="1615">
        <f t="shared" si="388"/>
        <v>0</v>
      </c>
      <c r="CN83" s="1615">
        <f t="shared" si="388"/>
        <v>0</v>
      </c>
      <c r="CO83" s="1615">
        <f t="shared" si="388"/>
        <v>0</v>
      </c>
      <c r="CP83" s="1615">
        <f t="shared" si="388"/>
        <v>0</v>
      </c>
      <c r="CQ83" s="1615">
        <f t="shared" si="388"/>
        <v>0</v>
      </c>
      <c r="CR83" s="1615">
        <f t="shared" si="388"/>
        <v>0</v>
      </c>
      <c r="CS83" s="1615">
        <f t="shared" si="388"/>
        <v>0</v>
      </c>
      <c r="CT83" s="1615">
        <f t="shared" si="388"/>
        <v>0</v>
      </c>
      <c r="CU83" s="1615">
        <f t="shared" si="388"/>
        <v>0</v>
      </c>
      <c r="CV83" s="1615">
        <f>CV55*15%*CV73</f>
        <v>0</v>
      </c>
      <c r="CW83" s="1615">
        <f>CW55*15%*CW73</f>
        <v>0</v>
      </c>
      <c r="CX83" s="1615">
        <f>IF(CX82&gt;0,((CX48/21*CX82)+((CX42*4)*2.02%))*CX73*(1+fremskrivning),0)</f>
        <v>0</v>
      </c>
      <c r="CY83" s="1615">
        <f>IF(CY82&gt;0,((CY48/21*CY82)+((CY42*4)*2.02%))*CY73*(1+fremskrivning),0)</f>
        <v>0</v>
      </c>
      <c r="CZ83" s="1615">
        <f>IF(CZ82&gt;0,((CZ48/21*CZ82)+((CZ42*4)*2.02%))*CZ73*(1+fremskrivning),0)</f>
        <v>0</v>
      </c>
      <c r="DA83" s="1615">
        <f>IF(DA82&gt;0,((DA48/21*DA82)+((DA42*4)*2.02%))*DA73*(1+fremskrivning),0)</f>
        <v>0</v>
      </c>
      <c r="DB83" s="1615">
        <f>IF(DB82&gt;0,((DB48/21*DB82)+((DB42*4)*2.02%))*DB73*(1+fremskrivning),0)</f>
        <v>0</v>
      </c>
      <c r="DC83" s="1615">
        <f>DC55*15%*DC73</f>
        <v>0</v>
      </c>
      <c r="DD83" s="1615">
        <f>DD55*15%*DD73</f>
        <v>0</v>
      </c>
      <c r="DF83" s="502"/>
      <c r="DG83" s="501"/>
    </row>
    <row r="84" spans="1:111" ht="28" customHeight="1">
      <c r="A84" s="3129" t="str">
        <f>"FERIEPENGEFORPLIGTIGELSE "&amp;budgetår&amp;""</f>
        <v>FERIEPENGEFORPLIGTIGELSE 2026</v>
      </c>
      <c r="B84" s="3129"/>
      <c r="C84" s="1616"/>
      <c r="D84" s="1616"/>
      <c r="E84" s="1616"/>
      <c r="F84" s="1616"/>
      <c r="G84" s="1616"/>
      <c r="H84" s="1616"/>
      <c r="I84" s="1616"/>
      <c r="J84" s="1616"/>
      <c r="K84" s="1616"/>
      <c r="L84" s="1616"/>
      <c r="M84" s="1616"/>
      <c r="N84" s="1616"/>
      <c r="O84" s="1616"/>
      <c r="P84" s="1616"/>
      <c r="Q84" s="1616"/>
      <c r="R84" s="1616"/>
      <c r="S84" s="1616"/>
      <c r="T84" s="1616"/>
      <c r="U84" s="1616"/>
      <c r="V84" s="556" t="str">
        <f>"FP"&amp;budgetår&amp;""</f>
        <v>FP2026</v>
      </c>
      <c r="W84" s="1617">
        <f>SUM(C81:U81)-SUM(C79:U79)</f>
        <v>0</v>
      </c>
      <c r="X84" s="1616"/>
      <c r="Y84" s="1616"/>
      <c r="Z84" s="1616"/>
      <c r="AA84" s="1616"/>
      <c r="AB84" s="1616"/>
      <c r="AC84" s="1616"/>
      <c r="AD84" s="1616"/>
      <c r="AE84" s="1616"/>
      <c r="AF84" s="1616"/>
      <c r="AG84" s="1616"/>
      <c r="AH84" s="1616"/>
      <c r="AI84" s="1616"/>
      <c r="AJ84" s="1616"/>
      <c r="AK84" s="1616"/>
      <c r="AL84" s="1616"/>
      <c r="AM84" s="1616"/>
      <c r="AN84" s="1616"/>
      <c r="AO84" s="1616"/>
      <c r="AP84" s="1616"/>
      <c r="AQ84" s="1616"/>
      <c r="AR84" s="1616"/>
      <c r="AS84" s="1616"/>
      <c r="AT84" s="1616"/>
      <c r="AU84" s="1616"/>
      <c r="AV84" s="1616"/>
      <c r="AW84" s="1616"/>
      <c r="AX84" s="1616"/>
      <c r="AY84" s="1616"/>
      <c r="AZ84" s="556" t="str">
        <f>"FP"&amp;budgetår&amp;""</f>
        <v>FP2026</v>
      </c>
      <c r="BA84" s="1617">
        <f>SUM(X81:AY81)-SUM(X79:AY79)</f>
        <v>0</v>
      </c>
      <c r="BB84" s="557"/>
      <c r="BC84" s="557"/>
      <c r="BD84" s="557"/>
      <c r="BE84" s="557"/>
      <c r="BF84" s="557"/>
      <c r="BG84" s="557"/>
      <c r="BH84" s="557"/>
      <c r="BI84" s="557"/>
      <c r="BJ84" s="557"/>
      <c r="BK84" s="557"/>
      <c r="BL84" s="557"/>
      <c r="BM84" s="556" t="str">
        <f>"FP"&amp;budgetår&amp;""</f>
        <v>FP2026</v>
      </c>
      <c r="BN84" s="558">
        <f>SUM(BB81:BL81)-SUM(BB79:BL79)</f>
        <v>0</v>
      </c>
      <c r="BO84" s="557"/>
      <c r="BP84" s="557"/>
      <c r="BQ84" s="557"/>
      <c r="BR84" s="557"/>
      <c r="BS84" s="557"/>
      <c r="BT84" s="557"/>
      <c r="BU84" s="557"/>
      <c r="BV84" s="557"/>
      <c r="BW84" s="557"/>
      <c r="BX84" s="557"/>
      <c r="BY84" s="556" t="str">
        <f>"FP"&amp;budgetår&amp;""</f>
        <v>FP2026</v>
      </c>
      <c r="BZ84" s="558">
        <f>SUM(BO81:BX81)-SUM(BO79:BX79)</f>
        <v>0</v>
      </c>
      <c r="CA84" s="557"/>
      <c r="CB84" s="557"/>
      <c r="CC84" s="557"/>
      <c r="CD84" s="557"/>
      <c r="CE84" s="557"/>
      <c r="CF84" s="557"/>
      <c r="CG84" s="557"/>
      <c r="CH84" s="557"/>
      <c r="CI84" s="556" t="str">
        <f>"FP"&amp;budgetår&amp;""</f>
        <v>FP2026</v>
      </c>
      <c r="CJ84" s="558">
        <f>SUM(CA81:CH81)-SUM(CA79:CH79)</f>
        <v>0</v>
      </c>
      <c r="CK84" s="557"/>
      <c r="CL84" s="557"/>
      <c r="CM84" s="557"/>
      <c r="CN84" s="557"/>
      <c r="CO84" s="557"/>
      <c r="CP84" s="557"/>
      <c r="CQ84" s="557"/>
      <c r="CR84" s="557"/>
      <c r="CS84" s="557"/>
      <c r="CT84" s="557"/>
      <c r="CU84" s="557"/>
      <c r="CV84" s="556" t="str">
        <f>"FP"&amp;budgetår&amp;""</f>
        <v>FP2026</v>
      </c>
      <c r="CW84" s="558">
        <f>SUM(CK81:CU81)-SUM(CK79:CU79)</f>
        <v>0</v>
      </c>
      <c r="CX84" s="557"/>
      <c r="CY84" s="557"/>
      <c r="CZ84" s="557"/>
      <c r="DA84" s="557"/>
      <c r="DB84" s="557"/>
      <c r="DC84" s="556" t="str">
        <f>"FP"&amp;budgetår&amp;""</f>
        <v>FP2026</v>
      </c>
      <c r="DD84" s="558">
        <f>SUM(CX81:DB81)-SUM(CX79:DB79)</f>
        <v>0</v>
      </c>
      <c r="DF84" s="503"/>
      <c r="DG84" s="504"/>
    </row>
    <row r="85" spans="1:111" ht="28" customHeight="1" thickBot="1">
      <c r="A85" s="3129" t="str">
        <f>"FERIEPENGEFORPLIGTIGELSE "&amp;budgetår+1&amp;""</f>
        <v>FERIEPENGEFORPLIGTIGELSE 2027</v>
      </c>
      <c r="B85" s="3129"/>
      <c r="C85" s="1618"/>
      <c r="D85" s="1618"/>
      <c r="E85" s="1618"/>
      <c r="F85" s="1618"/>
      <c r="G85" s="1618"/>
      <c r="H85" s="1618"/>
      <c r="I85" s="1618"/>
      <c r="J85" s="1618"/>
      <c r="K85" s="1618"/>
      <c r="L85" s="1618"/>
      <c r="M85" s="1618"/>
      <c r="N85" s="1618"/>
      <c r="O85" s="1618"/>
      <c r="P85" s="1618"/>
      <c r="Q85" s="1618"/>
      <c r="R85" s="1618"/>
      <c r="S85" s="1618"/>
      <c r="T85" s="1618"/>
      <c r="U85" s="1618"/>
      <c r="V85" s="556" t="str">
        <f>"FP"&amp;budgetår+1&amp;""</f>
        <v>FP2027</v>
      </c>
      <c r="W85" s="1619">
        <f>SUM(C83:U83)-SUM(C81:U81)</f>
        <v>0</v>
      </c>
      <c r="X85" s="1618"/>
      <c r="Y85" s="1618"/>
      <c r="Z85" s="1618"/>
      <c r="AA85" s="1618"/>
      <c r="AB85" s="1618"/>
      <c r="AC85" s="1618"/>
      <c r="AD85" s="1618"/>
      <c r="AE85" s="1618"/>
      <c r="AF85" s="1618"/>
      <c r="AG85" s="1618"/>
      <c r="AH85" s="1618"/>
      <c r="AI85" s="1618"/>
      <c r="AJ85" s="1618"/>
      <c r="AK85" s="1618"/>
      <c r="AL85" s="1618"/>
      <c r="AM85" s="1618"/>
      <c r="AN85" s="1618"/>
      <c r="AO85" s="1618"/>
      <c r="AP85" s="1618"/>
      <c r="AQ85" s="1618"/>
      <c r="AR85" s="2094"/>
      <c r="AS85" s="2094"/>
      <c r="AT85" s="2094"/>
      <c r="AU85" s="2094"/>
      <c r="AV85" s="2094"/>
      <c r="AW85" s="2094"/>
      <c r="AX85" s="2094"/>
      <c r="AY85" s="2094"/>
      <c r="AZ85" s="556" t="str">
        <f>"FP"&amp;budgetår+1&amp;""</f>
        <v>FP2027</v>
      </c>
      <c r="BA85" s="1619">
        <f>SUM(X83:AY83)-SUM(X81:AY81)</f>
        <v>0</v>
      </c>
      <c r="BB85" s="557"/>
      <c r="BC85" s="557"/>
      <c r="BD85" s="557"/>
      <c r="BE85" s="557"/>
      <c r="BF85" s="557"/>
      <c r="BG85" s="557"/>
      <c r="BH85" s="557"/>
      <c r="BI85" s="557"/>
      <c r="BJ85" s="557"/>
      <c r="BK85" s="557"/>
      <c r="BL85" s="557"/>
      <c r="BM85" s="556" t="str">
        <f>"FP"&amp;budgetår+1&amp;""</f>
        <v>FP2027</v>
      </c>
      <c r="BN85" s="558">
        <f>SUM(BB83:BL83)-SUM(BB81:BL81)</f>
        <v>0</v>
      </c>
      <c r="BO85" s="557"/>
      <c r="BP85" s="557"/>
      <c r="BQ85" s="557"/>
      <c r="BR85" s="557"/>
      <c r="BS85" s="557"/>
      <c r="BT85" s="557"/>
      <c r="BU85" s="557"/>
      <c r="BV85" s="557"/>
      <c r="BW85" s="557"/>
      <c r="BX85" s="557"/>
      <c r="BY85" s="556" t="str">
        <f>"FP"&amp;budgetår+1&amp;""</f>
        <v>FP2027</v>
      </c>
      <c r="BZ85" s="558">
        <f>SUM(BO83:BX83)-SUM(BO81:BX81)</f>
        <v>0</v>
      </c>
      <c r="CA85" s="557"/>
      <c r="CB85" s="557"/>
      <c r="CC85" s="557"/>
      <c r="CD85" s="557"/>
      <c r="CE85" s="557"/>
      <c r="CF85" s="557"/>
      <c r="CG85" s="557"/>
      <c r="CH85" s="557"/>
      <c r="CI85" s="556" t="str">
        <f>"FP"&amp;budgetår+1&amp;""</f>
        <v>FP2027</v>
      </c>
      <c r="CJ85" s="558">
        <f>SUM(CA83:CH83)-SUM(CA81:CH81)</f>
        <v>0</v>
      </c>
      <c r="CK85" s="557"/>
      <c r="CL85" s="557"/>
      <c r="CM85" s="557"/>
      <c r="CN85" s="557"/>
      <c r="CO85" s="557"/>
      <c r="CP85" s="557"/>
      <c r="CQ85" s="557"/>
      <c r="CR85" s="557"/>
      <c r="CS85" s="557"/>
      <c r="CT85" s="557"/>
      <c r="CU85" s="557"/>
      <c r="CV85" s="556" t="str">
        <f>"FP"&amp;budgetår+1&amp;""</f>
        <v>FP2027</v>
      </c>
      <c r="CW85" s="558">
        <f>SUM(CK83:CU83)-SUM(CK81:CU81)</f>
        <v>0</v>
      </c>
      <c r="CX85" s="557"/>
      <c r="CY85" s="557"/>
      <c r="CZ85" s="557"/>
      <c r="DA85" s="557"/>
      <c r="DB85" s="557"/>
      <c r="DC85" s="556" t="str">
        <f>"FP"&amp;budgetår+1&amp;""</f>
        <v>FP2027</v>
      </c>
      <c r="DD85" s="558">
        <f>SUM(CX83:DB83)-SUM(CX81:DB81)</f>
        <v>0</v>
      </c>
      <c r="DF85" s="503"/>
      <c r="DG85" s="504"/>
    </row>
    <row r="86" spans="1:111" ht="16">
      <c r="A86" s="548"/>
      <c r="B86" s="559" t="str">
        <f>"Lønafhængige omkostninger "&amp;budgetår&amp;""</f>
        <v>Lønafhængige omkostninger 2026</v>
      </c>
      <c r="C86" s="560"/>
      <c r="D86" s="539"/>
      <c r="E86" s="539"/>
      <c r="F86" s="539"/>
      <c r="G86" s="539"/>
      <c r="H86" s="539"/>
      <c r="I86" s="539"/>
      <c r="J86" s="539"/>
      <c r="K86" s="539"/>
      <c r="L86" s="539"/>
      <c r="M86" s="539"/>
      <c r="N86" s="539"/>
      <c r="O86" s="539"/>
      <c r="P86" s="539"/>
      <c r="Q86" s="539"/>
      <c r="R86" s="539"/>
      <c r="S86" s="539"/>
      <c r="T86" s="539"/>
      <c r="U86" s="539"/>
      <c r="V86" s="539"/>
      <c r="W86" s="561"/>
      <c r="X86" s="539"/>
      <c r="Y86" s="539"/>
      <c r="Z86" s="539"/>
      <c r="AA86" s="539"/>
      <c r="AB86" s="539"/>
      <c r="AC86" s="539"/>
      <c r="AD86" s="539"/>
      <c r="AE86" s="539"/>
      <c r="AF86" s="539"/>
      <c r="AG86" s="539"/>
      <c r="AH86" s="539"/>
      <c r="AI86" s="539"/>
      <c r="AJ86" s="539"/>
      <c r="AK86" s="539"/>
      <c r="AL86" s="539"/>
      <c r="AM86" s="539"/>
      <c r="AN86" s="539"/>
      <c r="AO86" s="539"/>
      <c r="AP86" s="539"/>
      <c r="AQ86" s="539"/>
      <c r="AR86" s="539"/>
      <c r="AS86" s="539"/>
      <c r="AT86" s="539"/>
      <c r="AU86" s="539"/>
      <c r="AV86" s="539"/>
      <c r="AW86" s="539"/>
      <c r="AX86" s="539"/>
      <c r="AY86" s="539"/>
      <c r="AZ86" s="539"/>
      <c r="BA86" s="561"/>
      <c r="BB86" s="562"/>
      <c r="BC86" s="562"/>
      <c r="BD86" s="562"/>
      <c r="BE86" s="562"/>
      <c r="BF86" s="562"/>
      <c r="BG86" s="562"/>
      <c r="BH86" s="562"/>
      <c r="BI86" s="562"/>
      <c r="BJ86" s="562"/>
      <c r="BK86" s="562"/>
      <c r="BL86" s="562"/>
      <c r="BM86" s="562"/>
      <c r="BN86" s="563"/>
      <c r="BO86" s="562"/>
      <c r="BP86" s="562"/>
      <c r="BQ86" s="562"/>
      <c r="BR86" s="562"/>
      <c r="BS86" s="562"/>
      <c r="BT86" s="562"/>
      <c r="BU86" s="562"/>
      <c r="BV86" s="562"/>
      <c r="BW86" s="562"/>
      <c r="BX86" s="562"/>
      <c r="BY86" s="562"/>
      <c r="BZ86" s="563"/>
      <c r="CA86" s="564"/>
      <c r="CB86" s="564"/>
      <c r="CC86" s="564"/>
      <c r="CD86" s="564"/>
      <c r="CE86" s="564"/>
      <c r="CF86" s="564"/>
      <c r="CG86" s="564"/>
      <c r="CH86" s="564"/>
      <c r="CI86" s="562"/>
      <c r="CJ86" s="563"/>
      <c r="CK86" s="564"/>
      <c r="CL86" s="564"/>
      <c r="CM86" s="564"/>
      <c r="CN86" s="564"/>
      <c r="CO86" s="564"/>
      <c r="CP86" s="564"/>
      <c r="CQ86" s="564"/>
      <c r="CR86" s="564"/>
      <c r="CS86" s="564"/>
      <c r="CT86" s="564"/>
      <c r="CU86" s="564"/>
      <c r="CV86" s="562"/>
      <c r="CW86" s="563"/>
      <c r="CX86" s="564"/>
      <c r="CY86" s="564"/>
      <c r="CZ86" s="564"/>
      <c r="DA86" s="564"/>
      <c r="DB86" s="564"/>
      <c r="DC86" s="562"/>
      <c r="DD86" s="563"/>
    </row>
    <row r="87" spans="1:111">
      <c r="A87" s="548"/>
      <c r="B87" s="541" t="str">
        <f>"Flexlønsordning(Kun for skolens ansatte): "&amp;FlexBidr&amp;" kr. pr årsværk"</f>
        <v>Flexlønsordning(Kun for skolens ansatte): 6053,688 kr. pr årsværk</v>
      </c>
      <c r="C87" s="565">
        <f t="shared" ref="C87:U87" si="389">C$24*C$14/12*FlexBidr</f>
        <v>0</v>
      </c>
      <c r="D87" s="566">
        <f t="shared" si="389"/>
        <v>0</v>
      </c>
      <c r="E87" s="567">
        <f t="shared" si="389"/>
        <v>0</v>
      </c>
      <c r="F87" s="567">
        <f t="shared" si="389"/>
        <v>0</v>
      </c>
      <c r="G87" s="567">
        <f t="shared" si="389"/>
        <v>0</v>
      </c>
      <c r="H87" s="567">
        <f t="shared" si="389"/>
        <v>0</v>
      </c>
      <c r="I87" s="567">
        <f t="shared" si="389"/>
        <v>0</v>
      </c>
      <c r="J87" s="567">
        <f t="shared" si="389"/>
        <v>0</v>
      </c>
      <c r="K87" s="567">
        <f t="shared" si="389"/>
        <v>0</v>
      </c>
      <c r="L87" s="567">
        <f t="shared" si="389"/>
        <v>0</v>
      </c>
      <c r="M87" s="567">
        <f t="shared" si="389"/>
        <v>0</v>
      </c>
      <c r="N87" s="567">
        <f t="shared" si="389"/>
        <v>0</v>
      </c>
      <c r="O87" s="567">
        <f t="shared" si="389"/>
        <v>0</v>
      </c>
      <c r="P87" s="567">
        <f t="shared" si="389"/>
        <v>0</v>
      </c>
      <c r="Q87" s="567">
        <f t="shared" si="389"/>
        <v>0</v>
      </c>
      <c r="R87" s="567">
        <f t="shared" si="389"/>
        <v>0</v>
      </c>
      <c r="S87" s="567">
        <f t="shared" si="389"/>
        <v>0</v>
      </c>
      <c r="T87" s="567">
        <f t="shared" si="389"/>
        <v>0</v>
      </c>
      <c r="U87" s="567">
        <f t="shared" si="389"/>
        <v>0</v>
      </c>
      <c r="V87" s="568">
        <f>(V10/160.33)*V14/12*FlexBidr</f>
        <v>0</v>
      </c>
      <c r="W87" s="568">
        <f>(W10/160.33)*W14/12*FlexBidr</f>
        <v>0</v>
      </c>
      <c r="X87" s="569">
        <v>0</v>
      </c>
      <c r="Y87" s="569">
        <v>0</v>
      </c>
      <c r="Z87" s="569">
        <v>0</v>
      </c>
      <c r="AA87" s="570">
        <v>0</v>
      </c>
      <c r="AB87" s="570">
        <v>0</v>
      </c>
      <c r="AC87" s="570">
        <v>0</v>
      </c>
      <c r="AD87" s="570">
        <v>0</v>
      </c>
      <c r="AE87" s="570">
        <v>0</v>
      </c>
      <c r="AF87" s="570">
        <v>0</v>
      </c>
      <c r="AG87" s="570">
        <v>0</v>
      </c>
      <c r="AH87" s="570">
        <v>0</v>
      </c>
      <c r="AI87" s="570">
        <v>0</v>
      </c>
      <c r="AJ87" s="570">
        <v>0</v>
      </c>
      <c r="AK87" s="570">
        <v>0</v>
      </c>
      <c r="AL87" s="570">
        <v>0</v>
      </c>
      <c r="AM87" s="570">
        <v>0</v>
      </c>
      <c r="AN87" s="570">
        <v>0</v>
      </c>
      <c r="AO87" s="570">
        <v>0</v>
      </c>
      <c r="AP87" s="570">
        <v>0</v>
      </c>
      <c r="AQ87" s="570">
        <v>0</v>
      </c>
      <c r="AR87" s="570">
        <v>0</v>
      </c>
      <c r="AS87" s="570">
        <v>0</v>
      </c>
      <c r="AT87" s="570">
        <v>0</v>
      </c>
      <c r="AU87" s="570">
        <v>0</v>
      </c>
      <c r="AV87" s="570">
        <v>0</v>
      </c>
      <c r="AW87" s="570">
        <v>0</v>
      </c>
      <c r="AX87" s="570">
        <v>0</v>
      </c>
      <c r="AY87" s="570">
        <v>0</v>
      </c>
      <c r="AZ87" s="571">
        <v>0</v>
      </c>
      <c r="BA87" s="572">
        <v>0</v>
      </c>
      <c r="BB87" s="569">
        <v>0</v>
      </c>
      <c r="BC87" s="569">
        <v>0</v>
      </c>
      <c r="BD87" s="569">
        <v>0</v>
      </c>
      <c r="BE87" s="570">
        <v>0</v>
      </c>
      <c r="BF87" s="570">
        <v>0</v>
      </c>
      <c r="BG87" s="570">
        <v>0</v>
      </c>
      <c r="BH87" s="570">
        <v>0</v>
      </c>
      <c r="BI87" s="570">
        <v>0</v>
      </c>
      <c r="BJ87" s="570">
        <v>0</v>
      </c>
      <c r="BK87" s="570">
        <v>0</v>
      </c>
      <c r="BL87" s="570">
        <v>0</v>
      </c>
      <c r="BM87" s="567"/>
      <c r="BN87" s="573"/>
      <c r="BO87" s="569">
        <v>0</v>
      </c>
      <c r="BP87" s="569">
        <v>0</v>
      </c>
      <c r="BQ87" s="570">
        <v>0</v>
      </c>
      <c r="BR87" s="570">
        <v>0</v>
      </c>
      <c r="BS87" s="570">
        <v>0</v>
      </c>
      <c r="BT87" s="570">
        <v>0</v>
      </c>
      <c r="BU87" s="570">
        <v>0</v>
      </c>
      <c r="BV87" s="570">
        <v>0</v>
      </c>
      <c r="BW87" s="570">
        <v>0</v>
      </c>
      <c r="BX87" s="570">
        <v>0</v>
      </c>
      <c r="BY87" s="567">
        <f>(BY10/160.33)*BY14/12*FlexBidr</f>
        <v>0</v>
      </c>
      <c r="BZ87" s="567">
        <f>(BZ10/160.33)*BZ14/12*FlexBidr</f>
        <v>0</v>
      </c>
      <c r="CA87" s="569">
        <f t="shared" ref="CA87:CH87" si="390">CA$24*CA$14/12*FlexBidr</f>
        <v>0</v>
      </c>
      <c r="CB87" s="574">
        <f t="shared" si="390"/>
        <v>0</v>
      </c>
      <c r="CC87" s="574">
        <f t="shared" si="390"/>
        <v>0</v>
      </c>
      <c r="CD87" s="574">
        <f t="shared" si="390"/>
        <v>0</v>
      </c>
      <c r="CE87" s="574">
        <f t="shared" si="390"/>
        <v>0</v>
      </c>
      <c r="CF87" s="574">
        <f t="shared" si="390"/>
        <v>0</v>
      </c>
      <c r="CG87" s="574">
        <f t="shared" si="390"/>
        <v>0</v>
      </c>
      <c r="CH87" s="574">
        <f t="shared" si="390"/>
        <v>0</v>
      </c>
      <c r="CI87" s="567">
        <f>(CI10/160.33)*CI14/12*FlexBidr</f>
        <v>0</v>
      </c>
      <c r="CJ87" s="567">
        <f>(CJ10/160.33)*CJ14/12*FlexBidr</f>
        <v>0</v>
      </c>
      <c r="CK87" s="569">
        <f t="shared" ref="CK87:CU87" si="391">CK$24*CK$14/12*FlexBidr</f>
        <v>0</v>
      </c>
      <c r="CL87" s="569">
        <f t="shared" si="391"/>
        <v>0</v>
      </c>
      <c r="CM87" s="574">
        <f t="shared" si="391"/>
        <v>0</v>
      </c>
      <c r="CN87" s="574">
        <f t="shared" si="391"/>
        <v>0</v>
      </c>
      <c r="CO87" s="574">
        <f t="shared" si="391"/>
        <v>0</v>
      </c>
      <c r="CP87" s="574">
        <f t="shared" si="391"/>
        <v>0</v>
      </c>
      <c r="CQ87" s="574">
        <f t="shared" si="391"/>
        <v>0</v>
      </c>
      <c r="CR87" s="574">
        <f t="shared" si="391"/>
        <v>0</v>
      </c>
      <c r="CS87" s="574">
        <f t="shared" si="391"/>
        <v>0</v>
      </c>
      <c r="CT87" s="574">
        <f t="shared" si="391"/>
        <v>0</v>
      </c>
      <c r="CU87" s="574">
        <f t="shared" si="391"/>
        <v>0</v>
      </c>
      <c r="CV87" s="567">
        <f>(CV10/160.33)*CV14/12*FlexBidr</f>
        <v>0</v>
      </c>
      <c r="CW87" s="567">
        <f>(CW10/160.33)*CW14/12*FlexBidr</f>
        <v>0</v>
      </c>
      <c r="CX87" s="569">
        <f>CX$24*CX$14/12*FlexBidr</f>
        <v>0</v>
      </c>
      <c r="CY87" s="574">
        <f>CY$24*CY$14/12*FlexBidr</f>
        <v>0</v>
      </c>
      <c r="CZ87" s="574">
        <f>CZ$24*CZ$14/12*FlexBidr</f>
        <v>0</v>
      </c>
      <c r="DA87" s="574">
        <f>DA$24*DA$14/12*FlexBidr</f>
        <v>0</v>
      </c>
      <c r="DB87" s="574">
        <f>DB$24*DB$14/12*FlexBidr</f>
        <v>0</v>
      </c>
      <c r="DC87" s="567">
        <f>($DC$10/160.33)*DC14/12*FlexBidr</f>
        <v>0</v>
      </c>
      <c r="DD87" s="567">
        <f>($DD$10/160.33)*DD14/12*FlexBidr</f>
        <v>0</v>
      </c>
    </row>
    <row r="88" spans="1:111" ht="14" thickBot="1">
      <c r="A88" s="548"/>
      <c r="B88" s="575" t="str">
        <f>"Samlet betaling: "&amp;SatsBilag!$B$28&amp;" kr. pr årsværk samt barsel.dk f. Bh."</f>
        <v>Samlet betaling: 5177 kr. pr årsværk samt barsel.dk f. Bh.</v>
      </c>
      <c r="C88" s="576">
        <f t="shared" ref="C88:U88" si="392">C$24*C$14/12*AER</f>
        <v>0</v>
      </c>
      <c r="D88" s="577">
        <f t="shared" si="392"/>
        <v>0</v>
      </c>
      <c r="E88" s="578">
        <f t="shared" si="392"/>
        <v>0</v>
      </c>
      <c r="F88" s="578">
        <f t="shared" si="392"/>
        <v>0</v>
      </c>
      <c r="G88" s="578">
        <f t="shared" si="392"/>
        <v>0</v>
      </c>
      <c r="H88" s="578">
        <f t="shared" si="392"/>
        <v>0</v>
      </c>
      <c r="I88" s="578">
        <f t="shared" si="392"/>
        <v>0</v>
      </c>
      <c r="J88" s="578">
        <f t="shared" si="392"/>
        <v>0</v>
      </c>
      <c r="K88" s="578">
        <f t="shared" si="392"/>
        <v>0</v>
      </c>
      <c r="L88" s="578">
        <f t="shared" si="392"/>
        <v>0</v>
      </c>
      <c r="M88" s="578">
        <f t="shared" si="392"/>
        <v>0</v>
      </c>
      <c r="N88" s="578">
        <f t="shared" si="392"/>
        <v>0</v>
      </c>
      <c r="O88" s="578">
        <f t="shared" si="392"/>
        <v>0</v>
      </c>
      <c r="P88" s="578">
        <f t="shared" si="392"/>
        <v>0</v>
      </c>
      <c r="Q88" s="578">
        <f t="shared" si="392"/>
        <v>0</v>
      </c>
      <c r="R88" s="578">
        <f t="shared" si="392"/>
        <v>0</v>
      </c>
      <c r="S88" s="578">
        <f t="shared" si="392"/>
        <v>0</v>
      </c>
      <c r="T88" s="578">
        <f t="shared" si="392"/>
        <v>0</v>
      </c>
      <c r="U88" s="578">
        <f t="shared" si="392"/>
        <v>0</v>
      </c>
      <c r="V88" s="578">
        <f>(V10/160.33)*V14/12*AER</f>
        <v>0</v>
      </c>
      <c r="W88" s="578">
        <f>(W10/160.33)*W14/12*AER</f>
        <v>0</v>
      </c>
      <c r="X88" s="579">
        <f t="shared" ref="X88:AQ88" si="393">(AER+BarselBidr)*X$24*X$14/12</f>
        <v>0</v>
      </c>
      <c r="Y88" s="579">
        <f t="shared" si="393"/>
        <v>0</v>
      </c>
      <c r="Z88" s="579">
        <f t="shared" si="393"/>
        <v>0</v>
      </c>
      <c r="AA88" s="580">
        <f t="shared" si="393"/>
        <v>0</v>
      </c>
      <c r="AB88" s="580">
        <f t="shared" si="393"/>
        <v>0</v>
      </c>
      <c r="AC88" s="580">
        <f t="shared" si="393"/>
        <v>0</v>
      </c>
      <c r="AD88" s="580">
        <f t="shared" si="393"/>
        <v>0</v>
      </c>
      <c r="AE88" s="580">
        <f t="shared" si="393"/>
        <v>0</v>
      </c>
      <c r="AF88" s="580">
        <f t="shared" si="393"/>
        <v>0</v>
      </c>
      <c r="AG88" s="580">
        <f t="shared" si="393"/>
        <v>0</v>
      </c>
      <c r="AH88" s="580">
        <f t="shared" si="393"/>
        <v>0</v>
      </c>
      <c r="AI88" s="580">
        <f t="shared" si="393"/>
        <v>0</v>
      </c>
      <c r="AJ88" s="580">
        <f t="shared" si="393"/>
        <v>0</v>
      </c>
      <c r="AK88" s="580">
        <f t="shared" si="393"/>
        <v>0</v>
      </c>
      <c r="AL88" s="580">
        <f t="shared" si="393"/>
        <v>0</v>
      </c>
      <c r="AM88" s="580">
        <f t="shared" si="393"/>
        <v>0</v>
      </c>
      <c r="AN88" s="580">
        <f t="shared" si="393"/>
        <v>0</v>
      </c>
      <c r="AO88" s="580">
        <f t="shared" si="393"/>
        <v>0</v>
      </c>
      <c r="AP88" s="580">
        <f t="shared" si="393"/>
        <v>0</v>
      </c>
      <c r="AQ88" s="580">
        <f t="shared" si="393"/>
        <v>0</v>
      </c>
      <c r="AR88" s="580">
        <f t="shared" ref="AR88:AY88" si="394">(AER+BarselBidr)*AR$24*AR$14/12</f>
        <v>0</v>
      </c>
      <c r="AS88" s="580">
        <f t="shared" si="394"/>
        <v>0</v>
      </c>
      <c r="AT88" s="580">
        <f t="shared" si="394"/>
        <v>0</v>
      </c>
      <c r="AU88" s="580">
        <f t="shared" si="394"/>
        <v>0</v>
      </c>
      <c r="AV88" s="580">
        <f t="shared" si="394"/>
        <v>0</v>
      </c>
      <c r="AW88" s="580">
        <f t="shared" si="394"/>
        <v>0</v>
      </c>
      <c r="AX88" s="580">
        <f t="shared" si="394"/>
        <v>0</v>
      </c>
      <c r="AY88" s="580">
        <f t="shared" si="394"/>
        <v>0</v>
      </c>
      <c r="AZ88" s="581">
        <f>([0]!AER+BarselBidr)*'Lon pæd., TAP mm'!AZ10/160.33*'Lon pæd., TAP mm'!AZ14/12</f>
        <v>0</v>
      </c>
      <c r="BA88" s="581">
        <f>([0]!AER+BarselBidr)*'Lon pæd., TAP mm'!BA10/160.33*'Lon pæd., TAP mm'!BA14/12</f>
        <v>0</v>
      </c>
      <c r="BB88" s="579">
        <f t="shared" ref="BB88:BL88" si="395">(AER+BarselBidr)*BB$24*BB$14/12</f>
        <v>0</v>
      </c>
      <c r="BC88" s="579">
        <f t="shared" si="395"/>
        <v>0</v>
      </c>
      <c r="BD88" s="579">
        <f t="shared" si="395"/>
        <v>0</v>
      </c>
      <c r="BE88" s="580">
        <f t="shared" si="395"/>
        <v>0</v>
      </c>
      <c r="BF88" s="580">
        <f t="shared" si="395"/>
        <v>0</v>
      </c>
      <c r="BG88" s="580">
        <f t="shared" si="395"/>
        <v>0</v>
      </c>
      <c r="BH88" s="580">
        <f t="shared" si="395"/>
        <v>0</v>
      </c>
      <c r="BI88" s="580">
        <f t="shared" si="395"/>
        <v>0</v>
      </c>
      <c r="BJ88" s="580">
        <f t="shared" si="395"/>
        <v>0</v>
      </c>
      <c r="BK88" s="580">
        <f t="shared" si="395"/>
        <v>0</v>
      </c>
      <c r="BL88" s="580">
        <f t="shared" si="395"/>
        <v>0</v>
      </c>
      <c r="BM88" s="578">
        <f>([0]!AER+BarselBidr)*'Lon pæd., TAP mm'!BM10/160.33*'Lon pæd., TAP mm'!BM14/12</f>
        <v>0</v>
      </c>
      <c r="BN88" s="578">
        <f>([0]!AER+BarselBidr)*'Lon pæd., TAP mm'!BN10/160.33*'Lon pæd., TAP mm'!BN14/12</f>
        <v>0</v>
      </c>
      <c r="BO88" s="579">
        <f t="shared" ref="BO88:BX88" si="396">(AER+BarselBidr)*BO$24*BO$14/12</f>
        <v>0</v>
      </c>
      <c r="BP88" s="579">
        <f t="shared" si="396"/>
        <v>0</v>
      </c>
      <c r="BQ88" s="580">
        <f t="shared" si="396"/>
        <v>0</v>
      </c>
      <c r="BR88" s="580">
        <f t="shared" si="396"/>
        <v>0</v>
      </c>
      <c r="BS88" s="580">
        <f t="shared" si="396"/>
        <v>0</v>
      </c>
      <c r="BT88" s="580">
        <f t="shared" si="396"/>
        <v>0</v>
      </c>
      <c r="BU88" s="580">
        <f t="shared" si="396"/>
        <v>0</v>
      </c>
      <c r="BV88" s="580">
        <f t="shared" si="396"/>
        <v>0</v>
      </c>
      <c r="BW88" s="580">
        <f t="shared" si="396"/>
        <v>0</v>
      </c>
      <c r="BX88" s="580">
        <f t="shared" si="396"/>
        <v>0</v>
      </c>
      <c r="BY88" s="578">
        <f>(BY10/160.33)*BY14/12*AER</f>
        <v>0</v>
      </c>
      <c r="BZ88" s="578">
        <f>(BZ10/160.33)*BZ14/12*AER</f>
        <v>0</v>
      </c>
      <c r="CA88" s="579">
        <f t="shared" ref="CA88:CH88" si="397">CA$24*CA$14/12*AER</f>
        <v>0</v>
      </c>
      <c r="CB88" s="582">
        <f t="shared" si="397"/>
        <v>0</v>
      </c>
      <c r="CC88" s="582">
        <f t="shared" si="397"/>
        <v>0</v>
      </c>
      <c r="CD88" s="582">
        <f t="shared" si="397"/>
        <v>0</v>
      </c>
      <c r="CE88" s="582">
        <f t="shared" si="397"/>
        <v>0</v>
      </c>
      <c r="CF88" s="582">
        <f t="shared" si="397"/>
        <v>0</v>
      </c>
      <c r="CG88" s="582">
        <f t="shared" si="397"/>
        <v>0</v>
      </c>
      <c r="CH88" s="582">
        <f t="shared" si="397"/>
        <v>0</v>
      </c>
      <c r="CI88" s="578">
        <f>(CI10/160.33)*CI14/12*AER</f>
        <v>0</v>
      </c>
      <c r="CJ88" s="578">
        <f>(CJ10/160.33)*CJ14/12*AER</f>
        <v>0</v>
      </c>
      <c r="CK88" s="579">
        <f t="shared" ref="CK88:CU88" si="398">CK$24*CK$14/12*AER</f>
        <v>0</v>
      </c>
      <c r="CL88" s="579">
        <f t="shared" si="398"/>
        <v>0</v>
      </c>
      <c r="CM88" s="582">
        <f t="shared" si="398"/>
        <v>0</v>
      </c>
      <c r="CN88" s="582">
        <f t="shared" si="398"/>
        <v>0</v>
      </c>
      <c r="CO88" s="582">
        <f t="shared" si="398"/>
        <v>0</v>
      </c>
      <c r="CP88" s="582">
        <f t="shared" si="398"/>
        <v>0</v>
      </c>
      <c r="CQ88" s="582">
        <f t="shared" si="398"/>
        <v>0</v>
      </c>
      <c r="CR88" s="582">
        <f t="shared" si="398"/>
        <v>0</v>
      </c>
      <c r="CS88" s="582">
        <f t="shared" si="398"/>
        <v>0</v>
      </c>
      <c r="CT88" s="582">
        <f t="shared" si="398"/>
        <v>0</v>
      </c>
      <c r="CU88" s="582">
        <f t="shared" si="398"/>
        <v>0</v>
      </c>
      <c r="CV88" s="578">
        <f>(CV10/160.33)*CV14/12*AER</f>
        <v>0</v>
      </c>
      <c r="CW88" s="578">
        <f>(CW10/160.33)*CW14/12*AER</f>
        <v>0</v>
      </c>
      <c r="CX88" s="579">
        <f>CX$24*CX$14/12*AER</f>
        <v>0</v>
      </c>
      <c r="CY88" s="582">
        <f>CY$24*CY$14/12*AER</f>
        <v>0</v>
      </c>
      <c r="CZ88" s="582">
        <f>CZ$24*CZ$14/12*AER</f>
        <v>0</v>
      </c>
      <c r="DA88" s="582">
        <f>DA$24*DA$14/12*AER</f>
        <v>0</v>
      </c>
      <c r="DB88" s="582">
        <f>DB$24*DB$14/12*AER</f>
        <v>0</v>
      </c>
      <c r="DC88" s="578">
        <f>(DC10/160.33)*DC14/12*AER</f>
        <v>0</v>
      </c>
      <c r="DD88" s="578">
        <f>(DD10/160.33)*DD14/12*AER</f>
        <v>0</v>
      </c>
    </row>
    <row r="89" spans="1:111" ht="14" thickBot="1">
      <c r="A89" s="548"/>
      <c r="B89" s="539"/>
      <c r="C89" s="583" t="s">
        <v>674</v>
      </c>
      <c r="D89" s="584" t="s">
        <v>674</v>
      </c>
      <c r="E89" s="584"/>
      <c r="F89" s="584"/>
      <c r="G89" s="584"/>
      <c r="H89" s="584"/>
      <c r="I89" s="584"/>
      <c r="J89" s="584"/>
      <c r="K89" s="584"/>
      <c r="L89" s="584"/>
      <c r="M89" s="584"/>
      <c r="N89" s="584"/>
      <c r="O89" s="584"/>
      <c r="P89" s="584"/>
      <c r="Q89" s="584"/>
      <c r="R89" s="584"/>
      <c r="S89" s="584"/>
      <c r="T89" s="584"/>
      <c r="U89" s="584"/>
      <c r="V89" s="584"/>
      <c r="W89" s="585">
        <f>SUM(C87:W88)</f>
        <v>0</v>
      </c>
      <c r="X89" s="586" t="s">
        <v>674</v>
      </c>
      <c r="Y89" s="586" t="s">
        <v>674</v>
      </c>
      <c r="Z89" s="586" t="s">
        <v>674</v>
      </c>
      <c r="AA89" s="586"/>
      <c r="AB89" s="586"/>
      <c r="AC89" s="586"/>
      <c r="AD89" s="586"/>
      <c r="AE89" s="586"/>
      <c r="AF89" s="586"/>
      <c r="AG89" s="586"/>
      <c r="AH89" s="586"/>
      <c r="AI89" s="586"/>
      <c r="AJ89" s="586"/>
      <c r="AK89" s="586"/>
      <c r="AL89" s="586"/>
      <c r="AM89" s="586"/>
      <c r="AN89" s="586"/>
      <c r="AO89" s="586"/>
      <c r="AP89" s="586"/>
      <c r="AQ89" s="586"/>
      <c r="AR89" s="586"/>
      <c r="AS89" s="586"/>
      <c r="AT89" s="586"/>
      <c r="AU89" s="586"/>
      <c r="AV89" s="586"/>
      <c r="AW89" s="586"/>
      <c r="AX89" s="586"/>
      <c r="AY89" s="586"/>
      <c r="AZ89" s="584"/>
      <c r="BA89" s="585">
        <f>SUM(X87:BA88)</f>
        <v>0</v>
      </c>
      <c r="BB89" s="586" t="s">
        <v>674</v>
      </c>
      <c r="BC89" s="586" t="s">
        <v>674</v>
      </c>
      <c r="BD89" s="586" t="s">
        <v>674</v>
      </c>
      <c r="BE89" s="586"/>
      <c r="BF89" s="586"/>
      <c r="BG89" s="586"/>
      <c r="BH89" s="586"/>
      <c r="BI89" s="586"/>
      <c r="BJ89" s="586"/>
      <c r="BK89" s="586"/>
      <c r="BL89" s="586"/>
      <c r="BM89" s="584"/>
      <c r="BN89" s="585">
        <f>SUM(BB87:BN88)</f>
        <v>0</v>
      </c>
      <c r="BO89" s="586" t="s">
        <v>674</v>
      </c>
      <c r="BP89" s="586" t="s">
        <v>674</v>
      </c>
      <c r="BQ89" s="586"/>
      <c r="BR89" s="586"/>
      <c r="BS89" s="586"/>
      <c r="BT89" s="586"/>
      <c r="BU89" s="586"/>
      <c r="BV89" s="586"/>
      <c r="BW89" s="586"/>
      <c r="BX89" s="586"/>
      <c r="BY89" s="584"/>
      <c r="BZ89" s="585">
        <f>SUM(BO87:BZ88)</f>
        <v>0</v>
      </c>
      <c r="CA89" s="587" t="s">
        <v>674</v>
      </c>
      <c r="CB89" s="587"/>
      <c r="CC89" s="587"/>
      <c r="CD89" s="587"/>
      <c r="CE89" s="587"/>
      <c r="CF89" s="587"/>
      <c r="CG89" s="587"/>
      <c r="CH89" s="587"/>
      <c r="CI89" s="584"/>
      <c r="CJ89" s="585">
        <f>SUM(CA87:CJ88)</f>
        <v>0</v>
      </c>
      <c r="CK89" s="587" t="s">
        <v>674</v>
      </c>
      <c r="CL89" s="587" t="s">
        <v>674</v>
      </c>
      <c r="CM89" s="587"/>
      <c r="CN89" s="587"/>
      <c r="CO89" s="587"/>
      <c r="CP89" s="587"/>
      <c r="CQ89" s="587"/>
      <c r="CR89" s="587"/>
      <c r="CS89" s="587"/>
      <c r="CT89" s="587"/>
      <c r="CU89" s="587"/>
      <c r="CV89" s="584"/>
      <c r="CW89" s="585">
        <f>SUM(CK87:CW88)</f>
        <v>0</v>
      </c>
      <c r="CX89" s="587" t="s">
        <v>674</v>
      </c>
      <c r="CY89" s="587"/>
      <c r="CZ89" s="587"/>
      <c r="DA89" s="587"/>
      <c r="DB89" s="587"/>
      <c r="DC89" s="584"/>
      <c r="DD89" s="585">
        <f>SUM(CX87:DD88)</f>
        <v>0</v>
      </c>
    </row>
    <row r="90" spans="1:111" ht="16">
      <c r="A90" s="548"/>
      <c r="B90" s="559" t="str">
        <f>"Lønafhængige omkostninger "&amp;budgetår+1&amp;""</f>
        <v>Lønafhængige omkostninger 2027</v>
      </c>
      <c r="C90" s="560"/>
      <c r="D90" s="539"/>
      <c r="E90" s="539"/>
      <c r="F90" s="539"/>
      <c r="G90" s="539"/>
      <c r="H90" s="539"/>
      <c r="I90" s="539"/>
      <c r="J90" s="539"/>
      <c r="K90" s="539"/>
      <c r="L90" s="539"/>
      <c r="M90" s="539"/>
      <c r="N90" s="539"/>
      <c r="O90" s="539"/>
      <c r="P90" s="539"/>
      <c r="Q90" s="539"/>
      <c r="R90" s="539"/>
      <c r="S90" s="539"/>
      <c r="T90" s="539"/>
      <c r="U90" s="539"/>
      <c r="V90" s="539"/>
      <c r="W90" s="561"/>
      <c r="X90" s="539"/>
      <c r="Y90" s="539"/>
      <c r="Z90" s="539"/>
      <c r="AA90" s="539"/>
      <c r="AB90" s="539"/>
      <c r="AC90" s="539"/>
      <c r="AD90" s="539"/>
      <c r="AE90" s="539"/>
      <c r="AF90" s="539"/>
      <c r="AG90" s="539"/>
      <c r="AH90" s="539"/>
      <c r="AI90" s="539"/>
      <c r="AJ90" s="539"/>
      <c r="AK90" s="539"/>
      <c r="AL90" s="539"/>
      <c r="AM90" s="539"/>
      <c r="AN90" s="539"/>
      <c r="AO90" s="539"/>
      <c r="AP90" s="539"/>
      <c r="AQ90" s="539"/>
      <c r="AR90" s="539"/>
      <c r="AS90" s="539"/>
      <c r="AT90" s="539"/>
      <c r="AU90" s="539"/>
      <c r="AV90" s="539"/>
      <c r="AW90" s="539"/>
      <c r="AX90" s="539"/>
      <c r="AY90" s="539"/>
      <c r="AZ90" s="539"/>
      <c r="BA90" s="561"/>
      <c r="BB90" s="562"/>
      <c r="BC90" s="562"/>
      <c r="BD90" s="562"/>
      <c r="BE90" s="562"/>
      <c r="BF90" s="562"/>
      <c r="BG90" s="562"/>
      <c r="BH90" s="562"/>
      <c r="BI90" s="562"/>
      <c r="BJ90" s="562"/>
      <c r="BK90" s="562"/>
      <c r="BL90" s="562"/>
      <c r="BM90" s="562"/>
      <c r="BN90" s="563"/>
      <c r="BO90" s="562"/>
      <c r="BP90" s="562"/>
      <c r="BQ90" s="562"/>
      <c r="BR90" s="562"/>
      <c r="BS90" s="562"/>
      <c r="BT90" s="562"/>
      <c r="BU90" s="562"/>
      <c r="BV90" s="562"/>
      <c r="BW90" s="562"/>
      <c r="BX90" s="562"/>
      <c r="BY90" s="562"/>
      <c r="BZ90" s="563"/>
      <c r="CA90" s="564"/>
      <c r="CB90" s="564"/>
      <c r="CC90" s="564"/>
      <c r="CD90" s="564"/>
      <c r="CE90" s="564"/>
      <c r="CF90" s="564"/>
      <c r="CG90" s="564"/>
      <c r="CH90" s="564"/>
      <c r="CI90" s="562"/>
      <c r="CJ90" s="563"/>
      <c r="CK90" s="564"/>
      <c r="CL90" s="564"/>
      <c r="CM90" s="564"/>
      <c r="CN90" s="564"/>
      <c r="CO90" s="564"/>
      <c r="CP90" s="564"/>
      <c r="CQ90" s="564"/>
      <c r="CR90" s="564"/>
      <c r="CS90" s="564"/>
      <c r="CT90" s="564"/>
      <c r="CU90" s="564"/>
      <c r="CV90" s="562"/>
      <c r="CW90" s="563"/>
      <c r="CX90" s="564"/>
      <c r="CY90" s="564"/>
      <c r="CZ90" s="564"/>
      <c r="DA90" s="564"/>
      <c r="DB90" s="564"/>
      <c r="DC90" s="562"/>
      <c r="DD90" s="563"/>
    </row>
    <row r="91" spans="1:111">
      <c r="A91" s="548"/>
      <c r="B91" s="541" t="str">
        <f>"Flexlønsordning(Kun for skolens ansatte): "&amp;FlexBidr&amp;" kr. pr årsværk"</f>
        <v>Flexlønsordning(Kun for skolens ansatte): 6053,688 kr. pr årsværk</v>
      </c>
      <c r="C91" s="565">
        <f t="shared" ref="C91:U91" si="399">C$24*C$15/12*FlexBidr*(fremskrivning+1)</f>
        <v>0</v>
      </c>
      <c r="D91" s="565">
        <f t="shared" si="399"/>
        <v>0</v>
      </c>
      <c r="E91" s="565">
        <f t="shared" si="399"/>
        <v>0</v>
      </c>
      <c r="F91" s="565">
        <f t="shared" si="399"/>
        <v>0</v>
      </c>
      <c r="G91" s="565">
        <f t="shared" si="399"/>
        <v>0</v>
      </c>
      <c r="H91" s="565">
        <f t="shared" si="399"/>
        <v>0</v>
      </c>
      <c r="I91" s="565">
        <f t="shared" si="399"/>
        <v>0</v>
      </c>
      <c r="J91" s="565">
        <f t="shared" si="399"/>
        <v>0</v>
      </c>
      <c r="K91" s="565">
        <f t="shared" si="399"/>
        <v>0</v>
      </c>
      <c r="L91" s="565">
        <f t="shared" si="399"/>
        <v>0</v>
      </c>
      <c r="M91" s="565">
        <f t="shared" si="399"/>
        <v>0</v>
      </c>
      <c r="N91" s="565">
        <f t="shared" si="399"/>
        <v>0</v>
      </c>
      <c r="O91" s="565">
        <f t="shared" si="399"/>
        <v>0</v>
      </c>
      <c r="P91" s="565">
        <f t="shared" si="399"/>
        <v>0</v>
      </c>
      <c r="Q91" s="565">
        <f t="shared" si="399"/>
        <v>0</v>
      </c>
      <c r="R91" s="565">
        <f t="shared" si="399"/>
        <v>0</v>
      </c>
      <c r="S91" s="565">
        <f t="shared" si="399"/>
        <v>0</v>
      </c>
      <c r="T91" s="565">
        <f t="shared" si="399"/>
        <v>0</v>
      </c>
      <c r="U91" s="565">
        <f t="shared" si="399"/>
        <v>0</v>
      </c>
      <c r="V91" s="567">
        <f>(V10/160.33)*V15/12*FlexBidr*(fremskrivning+1)</f>
        <v>0</v>
      </c>
      <c r="W91" s="567">
        <f>(W10/160.33)*W15/12*FlexBidr*(fremskrivning+1)</f>
        <v>0</v>
      </c>
      <c r="X91" s="565">
        <v>0</v>
      </c>
      <c r="Y91" s="565">
        <v>0</v>
      </c>
      <c r="Z91" s="565">
        <v>0</v>
      </c>
      <c r="AA91" s="565">
        <v>0</v>
      </c>
      <c r="AB91" s="565">
        <v>0</v>
      </c>
      <c r="AC91" s="565">
        <v>0</v>
      </c>
      <c r="AD91" s="565">
        <v>0</v>
      </c>
      <c r="AE91" s="565">
        <v>0</v>
      </c>
      <c r="AF91" s="565">
        <v>0</v>
      </c>
      <c r="AG91" s="565">
        <v>0</v>
      </c>
      <c r="AH91" s="565">
        <v>0</v>
      </c>
      <c r="AI91" s="565">
        <v>0</v>
      </c>
      <c r="AJ91" s="565">
        <v>0</v>
      </c>
      <c r="AK91" s="565">
        <v>0</v>
      </c>
      <c r="AL91" s="565">
        <v>0</v>
      </c>
      <c r="AM91" s="565">
        <v>0</v>
      </c>
      <c r="AN91" s="565">
        <v>0</v>
      </c>
      <c r="AO91" s="565">
        <v>0</v>
      </c>
      <c r="AP91" s="565">
        <v>0</v>
      </c>
      <c r="AQ91" s="565">
        <v>0</v>
      </c>
      <c r="AR91" s="565">
        <v>0</v>
      </c>
      <c r="AS91" s="565">
        <v>0</v>
      </c>
      <c r="AT91" s="565">
        <v>0</v>
      </c>
      <c r="AU91" s="565">
        <v>0</v>
      </c>
      <c r="AV91" s="565">
        <v>0</v>
      </c>
      <c r="AW91" s="565">
        <v>0</v>
      </c>
      <c r="AX91" s="565">
        <v>0</v>
      </c>
      <c r="AY91" s="565">
        <v>0</v>
      </c>
      <c r="AZ91" s="565">
        <v>0</v>
      </c>
      <c r="BA91" s="565">
        <v>0</v>
      </c>
      <c r="BB91" s="565">
        <v>0</v>
      </c>
      <c r="BC91" s="565">
        <v>0</v>
      </c>
      <c r="BD91" s="565">
        <f>BB91</f>
        <v>0</v>
      </c>
      <c r="BE91" s="565">
        <f t="shared" ref="BE91:BK91" si="400">BD91</f>
        <v>0</v>
      </c>
      <c r="BF91" s="565">
        <f t="shared" si="400"/>
        <v>0</v>
      </c>
      <c r="BG91" s="565">
        <f t="shared" si="400"/>
        <v>0</v>
      </c>
      <c r="BH91" s="565">
        <f t="shared" si="400"/>
        <v>0</v>
      </c>
      <c r="BI91" s="565">
        <f t="shared" si="400"/>
        <v>0</v>
      </c>
      <c r="BJ91" s="565">
        <f t="shared" si="400"/>
        <v>0</v>
      </c>
      <c r="BK91" s="565">
        <f t="shared" si="400"/>
        <v>0</v>
      </c>
      <c r="BL91" s="565">
        <f>BK91</f>
        <v>0</v>
      </c>
      <c r="BM91" s="565"/>
      <c r="BN91" s="565"/>
      <c r="BO91" s="565">
        <f t="shared" ref="BO91:BX91" si="401">BO$24*BO$15/12*FlexBidr*(fremskrivning+1)</f>
        <v>0</v>
      </c>
      <c r="BP91" s="565">
        <f t="shared" si="401"/>
        <v>0</v>
      </c>
      <c r="BQ91" s="565">
        <f t="shared" si="401"/>
        <v>0</v>
      </c>
      <c r="BR91" s="565">
        <f t="shared" si="401"/>
        <v>0</v>
      </c>
      <c r="BS91" s="565">
        <f t="shared" si="401"/>
        <v>0</v>
      </c>
      <c r="BT91" s="565">
        <f t="shared" si="401"/>
        <v>0</v>
      </c>
      <c r="BU91" s="565">
        <f t="shared" si="401"/>
        <v>0</v>
      </c>
      <c r="BV91" s="565">
        <f t="shared" si="401"/>
        <v>0</v>
      </c>
      <c r="BW91" s="565">
        <f t="shared" si="401"/>
        <v>0</v>
      </c>
      <c r="BX91" s="565">
        <f t="shared" si="401"/>
        <v>0</v>
      </c>
      <c r="BY91" s="567">
        <f>(BY10/160.33)*BY15/12*FlexBidr*(fremskrivning+1)</f>
        <v>0</v>
      </c>
      <c r="BZ91" s="567">
        <f>(BZ10/160.33)*BZ15/12*FlexBidr*(fremskrivning+1)</f>
        <v>0</v>
      </c>
      <c r="CA91" s="565">
        <f t="shared" ref="CA91:CH91" si="402">CA$24*CA$15/12*FlexBidr*(fremskrivning+1)</f>
        <v>0</v>
      </c>
      <c r="CB91" s="565">
        <f t="shared" si="402"/>
        <v>0</v>
      </c>
      <c r="CC91" s="565">
        <f t="shared" si="402"/>
        <v>0</v>
      </c>
      <c r="CD91" s="565">
        <f t="shared" si="402"/>
        <v>0</v>
      </c>
      <c r="CE91" s="565">
        <f t="shared" si="402"/>
        <v>0</v>
      </c>
      <c r="CF91" s="565">
        <f t="shared" si="402"/>
        <v>0</v>
      </c>
      <c r="CG91" s="565">
        <f t="shared" si="402"/>
        <v>0</v>
      </c>
      <c r="CH91" s="565">
        <f t="shared" si="402"/>
        <v>0</v>
      </c>
      <c r="CI91" s="567">
        <f>(CI10/160.33)*CI15/12*FlexBidr*(fremskrivning+1)</f>
        <v>0</v>
      </c>
      <c r="CJ91" s="567">
        <f>(CJ10/160.33)*CJ15/12*FlexBidr*(fremskrivning+1)</f>
        <v>0</v>
      </c>
      <c r="CK91" s="565">
        <f t="shared" ref="CK91:CU91" si="403">CK$24*CK$15/12*FlexBidr*(fremskrivning+1)</f>
        <v>0</v>
      </c>
      <c r="CL91" s="565">
        <f t="shared" si="403"/>
        <v>0</v>
      </c>
      <c r="CM91" s="565">
        <f t="shared" si="403"/>
        <v>0</v>
      </c>
      <c r="CN91" s="565">
        <f t="shared" si="403"/>
        <v>0</v>
      </c>
      <c r="CO91" s="565">
        <f t="shared" si="403"/>
        <v>0</v>
      </c>
      <c r="CP91" s="565">
        <f t="shared" si="403"/>
        <v>0</v>
      </c>
      <c r="CQ91" s="565">
        <f t="shared" si="403"/>
        <v>0</v>
      </c>
      <c r="CR91" s="565">
        <f t="shared" si="403"/>
        <v>0</v>
      </c>
      <c r="CS91" s="565">
        <f t="shared" si="403"/>
        <v>0</v>
      </c>
      <c r="CT91" s="565">
        <f t="shared" si="403"/>
        <v>0</v>
      </c>
      <c r="CU91" s="565">
        <f t="shared" si="403"/>
        <v>0</v>
      </c>
      <c r="CV91" s="567">
        <f>(CV10/160.33)*CV15/12*FlexBidr*(fremskrivning+1)</f>
        <v>0</v>
      </c>
      <c r="CW91" s="567">
        <f>(CW10/160.33)*CW15/12*FlexBidr*(fremskrivning+1)</f>
        <v>0</v>
      </c>
      <c r="CX91" s="565">
        <f>CX$24*CX$15/12*FlexBidr*(fremskrivning+1)</f>
        <v>0</v>
      </c>
      <c r="CY91" s="565">
        <f>CY$24*CY$15/12*FlexBidr*(fremskrivning+1)</f>
        <v>0</v>
      </c>
      <c r="CZ91" s="565">
        <f>CZ$24*CZ$15/12*FlexBidr*(fremskrivning+1)</f>
        <v>0</v>
      </c>
      <c r="DA91" s="565">
        <f>DA$24*DA$15/12*FlexBidr*(fremskrivning+1)</f>
        <v>0</v>
      </c>
      <c r="DB91" s="565">
        <f>DB$24*DB$15/12*FlexBidr*(fremskrivning+1)</f>
        <v>0</v>
      </c>
      <c r="DC91" s="567">
        <f>(DC10/160.33)*DC15/12*FlexBidr*(fremskrivning+1)</f>
        <v>0</v>
      </c>
      <c r="DD91" s="567">
        <f>(DD10/160.33)*DD15/12*FlexBidr*(fremskrivning+1)</f>
        <v>0</v>
      </c>
    </row>
    <row r="92" spans="1:111" ht="14" thickBot="1">
      <c r="A92" s="548"/>
      <c r="B92" s="575" t="str">
        <f>"Samlet betaling: "&amp;SatsBilag!$B$28&amp;" kr. pr årsværk samt barsel.dk f. Bh."</f>
        <v>Samlet betaling: 5177 kr. pr årsværk samt barsel.dk f. Bh.</v>
      </c>
      <c r="C92" s="576">
        <f t="shared" ref="C92:U92" si="404">C$24*C$15/12*AER*(fremskrivning+1)</f>
        <v>0</v>
      </c>
      <c r="D92" s="576">
        <f t="shared" si="404"/>
        <v>0</v>
      </c>
      <c r="E92" s="576">
        <f t="shared" si="404"/>
        <v>0</v>
      </c>
      <c r="F92" s="576">
        <f t="shared" si="404"/>
        <v>0</v>
      </c>
      <c r="G92" s="576">
        <f t="shared" si="404"/>
        <v>0</v>
      </c>
      <c r="H92" s="576">
        <f t="shared" si="404"/>
        <v>0</v>
      </c>
      <c r="I92" s="576">
        <f t="shared" si="404"/>
        <v>0</v>
      </c>
      <c r="J92" s="576">
        <f t="shared" si="404"/>
        <v>0</v>
      </c>
      <c r="K92" s="576">
        <f t="shared" si="404"/>
        <v>0</v>
      </c>
      <c r="L92" s="576">
        <f t="shared" si="404"/>
        <v>0</v>
      </c>
      <c r="M92" s="576">
        <f t="shared" si="404"/>
        <v>0</v>
      </c>
      <c r="N92" s="576">
        <f t="shared" si="404"/>
        <v>0</v>
      </c>
      <c r="O92" s="576">
        <f t="shared" si="404"/>
        <v>0</v>
      </c>
      <c r="P92" s="576">
        <f t="shared" si="404"/>
        <v>0</v>
      </c>
      <c r="Q92" s="576">
        <f t="shared" si="404"/>
        <v>0</v>
      </c>
      <c r="R92" s="576">
        <f t="shared" si="404"/>
        <v>0</v>
      </c>
      <c r="S92" s="576">
        <f t="shared" si="404"/>
        <v>0</v>
      </c>
      <c r="T92" s="576">
        <f t="shared" si="404"/>
        <v>0</v>
      </c>
      <c r="U92" s="576">
        <f t="shared" si="404"/>
        <v>0</v>
      </c>
      <c r="V92" s="578">
        <f>(V10/160.33)*V15/12*AER*(fremskrivning+1)</f>
        <v>0</v>
      </c>
      <c r="W92" s="578">
        <f>(W10/160.33)*W15/12*AER*(fremskrivning+1)</f>
        <v>0</v>
      </c>
      <c r="X92" s="579">
        <f t="shared" ref="X92:AQ92" si="405">(AER+BarselBidr)*X$24*X$15/12*(fremskrivning+1)</f>
        <v>0</v>
      </c>
      <c r="Y92" s="579">
        <f t="shared" si="405"/>
        <v>0</v>
      </c>
      <c r="Z92" s="579">
        <f t="shared" si="405"/>
        <v>0</v>
      </c>
      <c r="AA92" s="579">
        <f t="shared" si="405"/>
        <v>0</v>
      </c>
      <c r="AB92" s="579">
        <f t="shared" si="405"/>
        <v>0</v>
      </c>
      <c r="AC92" s="579">
        <f t="shared" si="405"/>
        <v>0</v>
      </c>
      <c r="AD92" s="579">
        <f t="shared" si="405"/>
        <v>0</v>
      </c>
      <c r="AE92" s="579">
        <f t="shared" si="405"/>
        <v>0</v>
      </c>
      <c r="AF92" s="579">
        <f t="shared" si="405"/>
        <v>0</v>
      </c>
      <c r="AG92" s="579">
        <f t="shared" si="405"/>
        <v>0</v>
      </c>
      <c r="AH92" s="579">
        <f t="shared" si="405"/>
        <v>0</v>
      </c>
      <c r="AI92" s="579">
        <f t="shared" si="405"/>
        <v>0</v>
      </c>
      <c r="AJ92" s="579">
        <f t="shared" si="405"/>
        <v>0</v>
      </c>
      <c r="AK92" s="579">
        <f t="shared" si="405"/>
        <v>0</v>
      </c>
      <c r="AL92" s="579">
        <f t="shared" si="405"/>
        <v>0</v>
      </c>
      <c r="AM92" s="579">
        <f t="shared" si="405"/>
        <v>0</v>
      </c>
      <c r="AN92" s="579">
        <f t="shared" si="405"/>
        <v>0</v>
      </c>
      <c r="AO92" s="579">
        <f t="shared" si="405"/>
        <v>0</v>
      </c>
      <c r="AP92" s="579">
        <f t="shared" si="405"/>
        <v>0</v>
      </c>
      <c r="AQ92" s="579">
        <f t="shared" si="405"/>
        <v>0</v>
      </c>
      <c r="AR92" s="579">
        <f t="shared" ref="AR92:AY92" si="406">(AER+BarselBidr)*AR$24*AR$15/12*(fremskrivning+1)</f>
        <v>0</v>
      </c>
      <c r="AS92" s="579">
        <f t="shared" si="406"/>
        <v>0</v>
      </c>
      <c r="AT92" s="579">
        <f t="shared" si="406"/>
        <v>0</v>
      </c>
      <c r="AU92" s="579">
        <f t="shared" si="406"/>
        <v>0</v>
      </c>
      <c r="AV92" s="579">
        <f t="shared" si="406"/>
        <v>0</v>
      </c>
      <c r="AW92" s="579">
        <f t="shared" si="406"/>
        <v>0</v>
      </c>
      <c r="AX92" s="579">
        <f t="shared" si="406"/>
        <v>0</v>
      </c>
      <c r="AY92" s="579">
        <f t="shared" si="406"/>
        <v>0</v>
      </c>
      <c r="AZ92" s="578">
        <f>(AZ10/160.33)*AZ15/12*AER*(fremskrivning+1)</f>
        <v>0</v>
      </c>
      <c r="BA92" s="578">
        <f>(BA10/160.33)*BA15/12*AER*(fremskrivning+1)</f>
        <v>0</v>
      </c>
      <c r="BB92" s="579">
        <f t="shared" ref="BB92:BL92" si="407">(AER+BarselBidr)*BB$24*BB$15/12*(fremskrivning+1)</f>
        <v>0</v>
      </c>
      <c r="BC92" s="579">
        <f t="shared" si="407"/>
        <v>0</v>
      </c>
      <c r="BD92" s="579">
        <f t="shared" si="407"/>
        <v>0</v>
      </c>
      <c r="BE92" s="579">
        <f t="shared" si="407"/>
        <v>0</v>
      </c>
      <c r="BF92" s="579">
        <f t="shared" si="407"/>
        <v>0</v>
      </c>
      <c r="BG92" s="579">
        <f t="shared" si="407"/>
        <v>0</v>
      </c>
      <c r="BH92" s="579">
        <f t="shared" si="407"/>
        <v>0</v>
      </c>
      <c r="BI92" s="579">
        <f t="shared" si="407"/>
        <v>0</v>
      </c>
      <c r="BJ92" s="579">
        <f t="shared" si="407"/>
        <v>0</v>
      </c>
      <c r="BK92" s="579">
        <f t="shared" si="407"/>
        <v>0</v>
      </c>
      <c r="BL92" s="579">
        <f t="shared" si="407"/>
        <v>0</v>
      </c>
      <c r="BM92" s="578">
        <f>(BM10/160.33)*BM15/12*AER*(fremskrivning+1)</f>
        <v>0</v>
      </c>
      <c r="BN92" s="578">
        <f>(BN10/160.33)*BN15/12*AER*(fremskrivning+1)</f>
        <v>0</v>
      </c>
      <c r="BO92" s="576">
        <f t="shared" ref="BO92:BX92" si="408">BO$24*BO$15/12*AER*(fremskrivning+1)</f>
        <v>0</v>
      </c>
      <c r="BP92" s="576">
        <f t="shared" si="408"/>
        <v>0</v>
      </c>
      <c r="BQ92" s="576">
        <f t="shared" si="408"/>
        <v>0</v>
      </c>
      <c r="BR92" s="576">
        <f t="shared" si="408"/>
        <v>0</v>
      </c>
      <c r="BS92" s="576">
        <f t="shared" si="408"/>
        <v>0</v>
      </c>
      <c r="BT92" s="576">
        <f t="shared" si="408"/>
        <v>0</v>
      </c>
      <c r="BU92" s="576">
        <f t="shared" si="408"/>
        <v>0</v>
      </c>
      <c r="BV92" s="576">
        <f t="shared" si="408"/>
        <v>0</v>
      </c>
      <c r="BW92" s="576">
        <f t="shared" si="408"/>
        <v>0</v>
      </c>
      <c r="BX92" s="576">
        <f t="shared" si="408"/>
        <v>0</v>
      </c>
      <c r="BY92" s="578">
        <f>(BY10/160.33)*BY15/12*AER*(fremskrivning+1)</f>
        <v>0</v>
      </c>
      <c r="BZ92" s="578">
        <f>(BZ10/160.33)*BZ15/12*AER*(fremskrivning+1)</f>
        <v>0</v>
      </c>
      <c r="CA92" s="576">
        <f t="shared" ref="CA92:CH92" si="409">CA$24*CA$15/12*AER*(fremskrivning+1)</f>
        <v>0</v>
      </c>
      <c r="CB92" s="576">
        <f t="shared" si="409"/>
        <v>0</v>
      </c>
      <c r="CC92" s="576">
        <f t="shared" si="409"/>
        <v>0</v>
      </c>
      <c r="CD92" s="576">
        <f t="shared" si="409"/>
        <v>0</v>
      </c>
      <c r="CE92" s="576">
        <f t="shared" si="409"/>
        <v>0</v>
      </c>
      <c r="CF92" s="576">
        <f t="shared" si="409"/>
        <v>0</v>
      </c>
      <c r="CG92" s="576">
        <f t="shared" si="409"/>
        <v>0</v>
      </c>
      <c r="CH92" s="576">
        <f t="shared" si="409"/>
        <v>0</v>
      </c>
      <c r="CI92" s="578">
        <f>(CI10/160.33)*CI15/12*AER*(fremskrivning+1)</f>
        <v>0</v>
      </c>
      <c r="CJ92" s="578">
        <f>(CJ10/160.33)*CJ15/12*AER*(fremskrivning+1)</f>
        <v>0</v>
      </c>
      <c r="CK92" s="576">
        <f t="shared" ref="CK92:CU92" si="410">CK$24*CK$15/12*AER*(fremskrivning+1)</f>
        <v>0</v>
      </c>
      <c r="CL92" s="576">
        <f t="shared" si="410"/>
        <v>0</v>
      </c>
      <c r="CM92" s="576">
        <f t="shared" si="410"/>
        <v>0</v>
      </c>
      <c r="CN92" s="576">
        <f t="shared" si="410"/>
        <v>0</v>
      </c>
      <c r="CO92" s="576">
        <f t="shared" si="410"/>
        <v>0</v>
      </c>
      <c r="CP92" s="576">
        <f t="shared" si="410"/>
        <v>0</v>
      </c>
      <c r="CQ92" s="576">
        <f t="shared" si="410"/>
        <v>0</v>
      </c>
      <c r="CR92" s="576">
        <f t="shared" si="410"/>
        <v>0</v>
      </c>
      <c r="CS92" s="576">
        <f t="shared" si="410"/>
        <v>0</v>
      </c>
      <c r="CT92" s="576">
        <f t="shared" si="410"/>
        <v>0</v>
      </c>
      <c r="CU92" s="576">
        <f t="shared" si="410"/>
        <v>0</v>
      </c>
      <c r="CV92" s="578">
        <f>(CV10/160.33)*CV15/12*AER*(fremskrivning+1)</f>
        <v>0</v>
      </c>
      <c r="CW92" s="578">
        <f>(CW10/160.33)*CW15/12*AER*(fremskrivning+1)</f>
        <v>0</v>
      </c>
      <c r="CX92" s="576">
        <f>CX$24*CX$15/12*AER*(fremskrivning+1)</f>
        <v>0</v>
      </c>
      <c r="CY92" s="576">
        <f>CY$24*CY$15/12*AER*(fremskrivning+1)</f>
        <v>0</v>
      </c>
      <c r="CZ92" s="576">
        <f>CZ$24*CZ$15/12*AER*(fremskrivning+1)</f>
        <v>0</v>
      </c>
      <c r="DA92" s="576">
        <f>DA$24*DA$15/12*AER*(fremskrivning+1)</f>
        <v>0</v>
      </c>
      <c r="DB92" s="576">
        <f>DB$24*DB$15/12*AER*(fremskrivning+1)</f>
        <v>0</v>
      </c>
      <c r="DC92" s="578">
        <f>(DC10/160.33)*DC15/12*AER*(fremskrivning+1)</f>
        <v>0</v>
      </c>
      <c r="DD92" s="578">
        <f>(DD10/160.33)*DD15/12*AER*(fremskrivning+1)</f>
        <v>0</v>
      </c>
    </row>
    <row r="93" spans="1:111" ht="14" thickBot="1">
      <c r="A93" s="548"/>
      <c r="B93" s="539"/>
      <c r="C93" s="583" t="s">
        <v>674</v>
      </c>
      <c r="D93" s="584" t="s">
        <v>674</v>
      </c>
      <c r="E93" s="584"/>
      <c r="F93" s="584"/>
      <c r="G93" s="584"/>
      <c r="H93" s="584"/>
      <c r="I93" s="584"/>
      <c r="J93" s="584"/>
      <c r="K93" s="584"/>
      <c r="L93" s="584"/>
      <c r="M93" s="584"/>
      <c r="N93" s="584"/>
      <c r="O93" s="584"/>
      <c r="P93" s="584"/>
      <c r="Q93" s="584"/>
      <c r="R93" s="584"/>
      <c r="S93" s="584"/>
      <c r="T93" s="584"/>
      <c r="U93" s="584"/>
      <c r="V93" s="584"/>
      <c r="W93" s="585">
        <f>SUM(C91:W92)</f>
        <v>0</v>
      </c>
      <c r="X93" s="586" t="s">
        <v>674</v>
      </c>
      <c r="Y93" s="586" t="s">
        <v>674</v>
      </c>
      <c r="Z93" s="586" t="s">
        <v>674</v>
      </c>
      <c r="AA93" s="586"/>
      <c r="AB93" s="586"/>
      <c r="AC93" s="586"/>
      <c r="AD93" s="586"/>
      <c r="AE93" s="586"/>
      <c r="AF93" s="586"/>
      <c r="AG93" s="586"/>
      <c r="AH93" s="586"/>
      <c r="AI93" s="586"/>
      <c r="AJ93" s="586"/>
      <c r="AK93" s="586"/>
      <c r="AL93" s="586"/>
      <c r="AM93" s="586"/>
      <c r="AN93" s="586"/>
      <c r="AO93" s="586"/>
      <c r="AP93" s="586"/>
      <c r="AQ93" s="586"/>
      <c r="AR93" s="586"/>
      <c r="AS93" s="586"/>
      <c r="AT93" s="586"/>
      <c r="AU93" s="586"/>
      <c r="AV93" s="586"/>
      <c r="AW93" s="586"/>
      <c r="AX93" s="586"/>
      <c r="AY93" s="586"/>
      <c r="AZ93" s="584"/>
      <c r="BA93" s="585">
        <f>SUM(X91:BA92)</f>
        <v>0</v>
      </c>
      <c r="BB93" s="586" t="s">
        <v>674</v>
      </c>
      <c r="BC93" s="586" t="s">
        <v>674</v>
      </c>
      <c r="BD93" s="586" t="s">
        <v>674</v>
      </c>
      <c r="BE93" s="586"/>
      <c r="BF93" s="586"/>
      <c r="BG93" s="586"/>
      <c r="BH93" s="586"/>
      <c r="BI93" s="586"/>
      <c r="BJ93" s="586"/>
      <c r="BK93" s="586"/>
      <c r="BL93" s="586"/>
      <c r="BM93" s="584"/>
      <c r="BN93" s="585">
        <f>SUM(BB91:BN92)</f>
        <v>0</v>
      </c>
      <c r="BO93" s="586" t="s">
        <v>674</v>
      </c>
      <c r="BP93" s="586" t="s">
        <v>674</v>
      </c>
      <c r="BQ93" s="586"/>
      <c r="BR93" s="586"/>
      <c r="BS93" s="586"/>
      <c r="BT93" s="586"/>
      <c r="BU93" s="586"/>
      <c r="BV93" s="586"/>
      <c r="BW93" s="586"/>
      <c r="BX93" s="586"/>
      <c r="BY93" s="584"/>
      <c r="BZ93" s="585">
        <f>SUM(BO91:BZ92)</f>
        <v>0</v>
      </c>
      <c r="CA93" s="587" t="s">
        <v>674</v>
      </c>
      <c r="CB93" s="587"/>
      <c r="CC93" s="587"/>
      <c r="CD93" s="587"/>
      <c r="CE93" s="587"/>
      <c r="CF93" s="587"/>
      <c r="CG93" s="587"/>
      <c r="CH93" s="587"/>
      <c r="CI93" s="584"/>
      <c r="CJ93" s="585">
        <f>SUM(CA91:CJ92)</f>
        <v>0</v>
      </c>
      <c r="CK93" s="587" t="s">
        <v>674</v>
      </c>
      <c r="CL93" s="587" t="s">
        <v>674</v>
      </c>
      <c r="CM93" s="587"/>
      <c r="CN93" s="587"/>
      <c r="CO93" s="587"/>
      <c r="CP93" s="587"/>
      <c r="CQ93" s="587"/>
      <c r="CR93" s="587"/>
      <c r="CS93" s="587"/>
      <c r="CT93" s="587"/>
      <c r="CU93" s="587"/>
      <c r="CV93" s="584"/>
      <c r="CW93" s="585">
        <f>SUM(CK91:CW92)</f>
        <v>0</v>
      </c>
      <c r="CX93" s="587" t="s">
        <v>674</v>
      </c>
      <c r="CY93" s="587"/>
      <c r="CZ93" s="587"/>
      <c r="DA93" s="587"/>
      <c r="DB93" s="587"/>
      <c r="DC93" s="584"/>
      <c r="DD93" s="585">
        <f>SUM(CX91:DD92)</f>
        <v>0</v>
      </c>
    </row>
    <row r="94" spans="1:111">
      <c r="A94" s="551"/>
      <c r="B94" s="588"/>
      <c r="C94" s="589"/>
      <c r="D94" s="588"/>
      <c r="E94" s="588"/>
      <c r="F94" s="588"/>
      <c r="G94" s="588"/>
      <c r="H94" s="588"/>
      <c r="I94" s="588"/>
      <c r="J94" s="588"/>
      <c r="K94" s="588"/>
      <c r="L94" s="588"/>
      <c r="M94" s="588"/>
      <c r="N94" s="588"/>
      <c r="O94" s="588"/>
      <c r="P94" s="588"/>
      <c r="Q94" s="588"/>
      <c r="R94" s="588"/>
      <c r="S94" s="588"/>
      <c r="T94" s="588"/>
      <c r="U94" s="588"/>
      <c r="V94" s="588"/>
      <c r="W94" s="590"/>
      <c r="X94" s="588"/>
      <c r="Y94" s="588"/>
      <c r="Z94" s="588"/>
      <c r="AA94" s="588"/>
      <c r="AB94" s="588"/>
      <c r="AC94" s="588"/>
      <c r="AD94" s="588"/>
      <c r="AE94" s="588"/>
      <c r="AF94" s="588"/>
      <c r="AG94" s="588"/>
      <c r="AH94" s="588"/>
      <c r="AI94" s="588"/>
      <c r="AJ94" s="588"/>
      <c r="AK94" s="588"/>
      <c r="AL94" s="588"/>
      <c r="AM94" s="588"/>
      <c r="AN94" s="588"/>
      <c r="AO94" s="588"/>
      <c r="AP94" s="588"/>
      <c r="AQ94" s="588"/>
      <c r="AR94" s="588"/>
      <c r="AS94" s="588"/>
      <c r="AT94" s="588"/>
      <c r="AU94" s="588"/>
      <c r="AV94" s="588"/>
      <c r="AW94" s="588"/>
      <c r="AX94" s="588"/>
      <c r="AY94" s="588"/>
      <c r="AZ94" s="588"/>
      <c r="BA94" s="590"/>
      <c r="BB94" s="588"/>
      <c r="BC94" s="588"/>
      <c r="BD94" s="588"/>
      <c r="BE94" s="588"/>
      <c r="BF94" s="588"/>
      <c r="BG94" s="588"/>
      <c r="BH94" s="588"/>
      <c r="BI94" s="588"/>
      <c r="BJ94" s="588"/>
      <c r="BK94" s="588"/>
      <c r="BL94" s="588"/>
      <c r="BM94" s="588"/>
      <c r="BN94" s="590"/>
      <c r="BO94" s="588"/>
      <c r="BP94" s="588"/>
      <c r="BQ94" s="588"/>
      <c r="BR94" s="588"/>
      <c r="BS94" s="588"/>
      <c r="BT94" s="588"/>
      <c r="BU94" s="588"/>
      <c r="BV94" s="588"/>
      <c r="BW94" s="588"/>
      <c r="BX94" s="588"/>
      <c r="BY94" s="588"/>
      <c r="BZ94" s="590"/>
      <c r="CA94" s="591"/>
      <c r="CB94" s="591"/>
      <c r="CC94" s="591"/>
      <c r="CD94" s="591"/>
      <c r="CE94" s="591"/>
      <c r="CF94" s="591"/>
      <c r="CG94" s="591"/>
      <c r="CH94" s="591"/>
      <c r="CI94" s="588"/>
      <c r="CJ94" s="590"/>
      <c r="CK94" s="591"/>
      <c r="CL94" s="591"/>
      <c r="CM94" s="591"/>
      <c r="CN94" s="591"/>
      <c r="CO94" s="591"/>
      <c r="CP94" s="591"/>
      <c r="CQ94" s="591"/>
      <c r="CR94" s="591"/>
      <c r="CS94" s="591"/>
      <c r="CT94" s="591"/>
      <c r="CU94" s="591"/>
      <c r="CV94" s="588"/>
      <c r="CW94" s="590"/>
      <c r="CX94" s="591"/>
      <c r="CY94" s="591"/>
      <c r="CZ94" s="591"/>
      <c r="DA94" s="591"/>
      <c r="DB94" s="591"/>
      <c r="DC94" s="588"/>
      <c r="DD94" s="590"/>
    </row>
    <row r="95" spans="1:111" ht="13" hidden="1" customHeight="1">
      <c r="A95" s="542"/>
      <c r="B95" s="519"/>
      <c r="C95" s="519"/>
      <c r="D95" s="519"/>
      <c r="E95" s="519"/>
      <c r="F95" s="519"/>
      <c r="G95" s="519"/>
      <c r="H95" s="519"/>
      <c r="I95" s="519"/>
      <c r="J95" s="519"/>
      <c r="K95" s="519"/>
      <c r="L95" s="519"/>
      <c r="M95" s="519"/>
      <c r="N95" s="519"/>
      <c r="O95" s="519"/>
      <c r="P95" s="519"/>
      <c r="Q95" s="519"/>
      <c r="R95" s="519"/>
      <c r="S95" s="519"/>
      <c r="T95" s="519"/>
      <c r="U95" s="519"/>
      <c r="V95" s="519"/>
      <c r="W95" s="519"/>
      <c r="X95" s="519"/>
      <c r="Y95" s="519"/>
      <c r="Z95" s="519"/>
      <c r="AA95" s="519"/>
      <c r="AB95" s="519"/>
      <c r="AC95" s="519"/>
      <c r="AD95" s="519"/>
      <c r="AE95" s="519"/>
      <c r="AF95" s="519"/>
      <c r="AG95" s="519"/>
      <c r="AH95" s="519"/>
      <c r="AI95" s="519"/>
      <c r="AJ95" s="519"/>
      <c r="AK95" s="519"/>
      <c r="AL95" s="519"/>
      <c r="AM95" s="519"/>
      <c r="AN95" s="519"/>
      <c r="AO95" s="519"/>
      <c r="AP95" s="519"/>
      <c r="AQ95" s="519"/>
      <c r="AR95" s="519"/>
      <c r="AS95" s="519"/>
      <c r="AT95" s="519"/>
      <c r="AU95" s="519"/>
      <c r="AV95" s="519"/>
      <c r="AW95" s="519"/>
      <c r="AX95" s="519"/>
      <c r="AY95" s="519"/>
      <c r="AZ95" s="519"/>
      <c r="BA95" s="519"/>
      <c r="BB95" s="519"/>
      <c r="BC95" s="519"/>
      <c r="BD95" s="519"/>
      <c r="BE95" s="519"/>
      <c r="BF95" s="519"/>
      <c r="BG95" s="519"/>
      <c r="BH95" s="519"/>
      <c r="BI95" s="519"/>
      <c r="BJ95" s="519"/>
      <c r="BK95" s="519"/>
      <c r="BL95" s="519"/>
      <c r="BM95" s="519"/>
      <c r="BN95" s="519"/>
      <c r="BO95" s="519"/>
      <c r="BP95" s="519"/>
      <c r="BQ95" s="519"/>
      <c r="BR95" s="519"/>
      <c r="BS95" s="519"/>
      <c r="BT95" s="519"/>
      <c r="BU95" s="519"/>
      <c r="BV95" s="519"/>
      <c r="BW95" s="519"/>
      <c r="BX95" s="519"/>
      <c r="BY95" s="519"/>
      <c r="BZ95" s="519"/>
      <c r="CA95" s="519"/>
      <c r="CB95" s="519"/>
      <c r="CC95" s="519"/>
      <c r="CD95" s="519"/>
      <c r="CE95" s="519"/>
      <c r="CF95" s="519"/>
      <c r="CG95" s="519"/>
      <c r="CH95" s="519"/>
      <c r="CI95" s="519"/>
      <c r="CJ95" s="519"/>
      <c r="CK95" s="519"/>
      <c r="CL95" s="519"/>
      <c r="CM95" s="519"/>
      <c r="CN95" s="519"/>
      <c r="CO95" s="519"/>
      <c r="CP95" s="519"/>
      <c r="CQ95" s="519"/>
      <c r="CR95" s="519"/>
      <c r="CS95" s="519"/>
      <c r="CT95" s="519"/>
      <c r="CU95" s="519"/>
      <c r="CV95" s="519"/>
      <c r="CW95" s="519"/>
      <c r="CX95" s="519"/>
      <c r="CY95" s="519"/>
      <c r="CZ95" s="519"/>
      <c r="DA95" s="519"/>
      <c r="DB95" s="519"/>
      <c r="DC95" s="519"/>
      <c r="DD95" s="519"/>
    </row>
    <row r="96" spans="1:111" ht="13" hidden="1" customHeight="1">
      <c r="A96" s="542"/>
      <c r="B96" s="519" t="s">
        <v>618</v>
      </c>
      <c r="C96" s="519"/>
      <c r="D96" s="519"/>
      <c r="E96" s="519">
        <f t="shared" ref="E96:U96" si="411">IF(E16="Orlov",0,E27*E14)</f>
        <v>0</v>
      </c>
      <c r="F96" s="519">
        <f t="shared" ref="F96" si="412">IF(F16="Orlov",0,F27*F14)</f>
        <v>0</v>
      </c>
      <c r="G96" s="519">
        <f t="shared" si="411"/>
        <v>0</v>
      </c>
      <c r="H96" s="519">
        <f t="shared" si="411"/>
        <v>0</v>
      </c>
      <c r="I96" s="519">
        <f t="shared" ref="I96" si="413">IF(I16="Orlov",0,I27*I14)</f>
        <v>0</v>
      </c>
      <c r="J96" s="519">
        <f t="shared" si="411"/>
        <v>0</v>
      </c>
      <c r="K96" s="519">
        <f t="shared" si="411"/>
        <v>0</v>
      </c>
      <c r="L96" s="519">
        <f t="shared" si="411"/>
        <v>0</v>
      </c>
      <c r="M96" s="519">
        <f t="shared" si="411"/>
        <v>0</v>
      </c>
      <c r="N96" s="519">
        <f t="shared" si="411"/>
        <v>0</v>
      </c>
      <c r="O96" s="519">
        <f t="shared" si="411"/>
        <v>0</v>
      </c>
      <c r="P96" s="519">
        <f t="shared" si="411"/>
        <v>0</v>
      </c>
      <c r="Q96" s="519">
        <f t="shared" si="411"/>
        <v>0</v>
      </c>
      <c r="R96" s="519">
        <f t="shared" si="411"/>
        <v>0</v>
      </c>
      <c r="S96" s="519">
        <f t="shared" si="411"/>
        <v>0</v>
      </c>
      <c r="T96" s="519">
        <f t="shared" si="411"/>
        <v>0</v>
      </c>
      <c r="U96" s="519">
        <f t="shared" si="411"/>
        <v>0</v>
      </c>
      <c r="V96" s="519"/>
      <c r="W96" s="519"/>
      <c r="X96" s="519"/>
      <c r="Y96" s="519"/>
      <c r="Z96" s="519"/>
      <c r="AA96" s="519">
        <f t="shared" ref="AA96:AJ96" si="414">IF(AA16="Orlov",0,AA27*AA14)</f>
        <v>0</v>
      </c>
      <c r="AB96" s="519">
        <f t="shared" si="414"/>
        <v>0</v>
      </c>
      <c r="AC96" s="519">
        <f t="shared" si="414"/>
        <v>0</v>
      </c>
      <c r="AD96" s="519">
        <f t="shared" si="414"/>
        <v>0</v>
      </c>
      <c r="AE96" s="519">
        <f t="shared" ref="AE96" si="415">IF(AE16="Orlov",0,AE27*AE14)</f>
        <v>0</v>
      </c>
      <c r="AF96" s="519">
        <f t="shared" si="414"/>
        <v>0</v>
      </c>
      <c r="AG96" s="519">
        <f t="shared" si="414"/>
        <v>0</v>
      </c>
      <c r="AH96" s="519">
        <f t="shared" si="414"/>
        <v>0</v>
      </c>
      <c r="AI96" s="519">
        <f t="shared" si="414"/>
        <v>0</v>
      </c>
      <c r="AJ96" s="519">
        <f t="shared" si="414"/>
        <v>0</v>
      </c>
      <c r="AK96" s="519">
        <f t="shared" ref="AK96:AN96" si="416">IF(AK16="Orlov",0,AK27*AK14)</f>
        <v>0</v>
      </c>
      <c r="AL96" s="519">
        <f t="shared" si="416"/>
        <v>0</v>
      </c>
      <c r="AM96" s="519">
        <f t="shared" si="416"/>
        <v>0</v>
      </c>
      <c r="AN96" s="519">
        <f t="shared" si="416"/>
        <v>0</v>
      </c>
      <c r="AO96" s="519">
        <f t="shared" ref="AO96:AY96" si="417">IF(AO16="Orlov",0,AO27*AO14)</f>
        <v>0</v>
      </c>
      <c r="AP96" s="519">
        <f t="shared" si="417"/>
        <v>0</v>
      </c>
      <c r="AQ96" s="519">
        <f t="shared" si="417"/>
        <v>0</v>
      </c>
      <c r="AR96" s="519">
        <f t="shared" si="417"/>
        <v>0</v>
      </c>
      <c r="AS96" s="519">
        <f t="shared" si="417"/>
        <v>0</v>
      </c>
      <c r="AT96" s="519">
        <f t="shared" si="417"/>
        <v>0</v>
      </c>
      <c r="AU96" s="519">
        <f t="shared" si="417"/>
        <v>0</v>
      </c>
      <c r="AV96" s="519">
        <f t="shared" si="417"/>
        <v>0</v>
      </c>
      <c r="AW96" s="519">
        <f t="shared" si="417"/>
        <v>0</v>
      </c>
      <c r="AX96" s="519">
        <f t="shared" si="417"/>
        <v>0</v>
      </c>
      <c r="AY96" s="519">
        <f t="shared" si="417"/>
        <v>0</v>
      </c>
      <c r="AZ96" s="519"/>
      <c r="BA96" s="519"/>
      <c r="BB96" s="519">
        <f t="shared" ref="BB96:BL96" si="418">IF(BB16="Orlov",0,BB27*BB14)</f>
        <v>0</v>
      </c>
      <c r="BC96" s="519">
        <f t="shared" ref="BC96" si="419">IF(BC16="Orlov",0,BC27*BC14)</f>
        <v>0</v>
      </c>
      <c r="BD96" s="519">
        <f t="shared" si="418"/>
        <v>0</v>
      </c>
      <c r="BE96" s="519">
        <f t="shared" si="418"/>
        <v>0</v>
      </c>
      <c r="BF96" s="519">
        <f t="shared" si="418"/>
        <v>0</v>
      </c>
      <c r="BG96" s="519">
        <f t="shared" si="418"/>
        <v>0</v>
      </c>
      <c r="BH96" s="519">
        <f t="shared" si="418"/>
        <v>0</v>
      </c>
      <c r="BI96" s="519">
        <f t="shared" si="418"/>
        <v>0</v>
      </c>
      <c r="BJ96" s="519">
        <f t="shared" si="418"/>
        <v>0</v>
      </c>
      <c r="BK96" s="519">
        <f t="shared" si="418"/>
        <v>0</v>
      </c>
      <c r="BL96" s="519">
        <f t="shared" si="418"/>
        <v>0</v>
      </c>
      <c r="BM96" s="519"/>
      <c r="BN96" s="519"/>
      <c r="BO96" s="519">
        <f t="shared" ref="BO96:BX96" si="420">IF(BO16="Orlov",0,BO27*BO14)</f>
        <v>0</v>
      </c>
      <c r="BP96" s="519">
        <f t="shared" si="420"/>
        <v>0</v>
      </c>
      <c r="BQ96" s="519">
        <f t="shared" si="420"/>
        <v>0</v>
      </c>
      <c r="BR96" s="519">
        <f t="shared" si="420"/>
        <v>0</v>
      </c>
      <c r="BS96" s="519">
        <f t="shared" si="420"/>
        <v>0</v>
      </c>
      <c r="BT96" s="519">
        <f t="shared" si="420"/>
        <v>0</v>
      </c>
      <c r="BU96" s="519">
        <f t="shared" si="420"/>
        <v>0</v>
      </c>
      <c r="BV96" s="519">
        <f t="shared" si="420"/>
        <v>0</v>
      </c>
      <c r="BW96" s="519">
        <f t="shared" si="420"/>
        <v>0</v>
      </c>
      <c r="BX96" s="519">
        <f t="shared" si="420"/>
        <v>0</v>
      </c>
      <c r="BY96" s="519"/>
      <c r="BZ96" s="519"/>
      <c r="CA96" s="519">
        <f t="shared" ref="CA96:CH96" si="421">IF(CA16="Orlov",0,CA27*CA14)</f>
        <v>0</v>
      </c>
      <c r="CB96" s="519">
        <f t="shared" si="421"/>
        <v>0</v>
      </c>
      <c r="CC96" s="519">
        <f t="shared" si="421"/>
        <v>0</v>
      </c>
      <c r="CD96" s="519">
        <f t="shared" si="421"/>
        <v>0</v>
      </c>
      <c r="CE96" s="519">
        <f t="shared" si="421"/>
        <v>0</v>
      </c>
      <c r="CF96" s="519">
        <f t="shared" si="421"/>
        <v>0</v>
      </c>
      <c r="CG96" s="519">
        <f t="shared" si="421"/>
        <v>0</v>
      </c>
      <c r="CH96" s="519">
        <f t="shared" si="421"/>
        <v>0</v>
      </c>
      <c r="CI96" s="519"/>
      <c r="CJ96" s="519"/>
      <c r="CK96" s="519">
        <f t="shared" ref="CK96:CU96" si="422">IF(CK16="Orlov",0,CK27*CK14)</f>
        <v>0</v>
      </c>
      <c r="CL96" s="519">
        <f t="shared" si="422"/>
        <v>0</v>
      </c>
      <c r="CM96" s="519">
        <f t="shared" si="422"/>
        <v>0</v>
      </c>
      <c r="CN96" s="519">
        <f t="shared" si="422"/>
        <v>0</v>
      </c>
      <c r="CO96" s="519">
        <f t="shared" si="422"/>
        <v>0</v>
      </c>
      <c r="CP96" s="519">
        <f t="shared" si="422"/>
        <v>0</v>
      </c>
      <c r="CQ96" s="519">
        <f t="shared" si="422"/>
        <v>0</v>
      </c>
      <c r="CR96" s="519">
        <f t="shared" si="422"/>
        <v>0</v>
      </c>
      <c r="CS96" s="519">
        <f t="shared" si="422"/>
        <v>0</v>
      </c>
      <c r="CT96" s="519">
        <f t="shared" si="422"/>
        <v>0</v>
      </c>
      <c r="CU96" s="519">
        <f t="shared" si="422"/>
        <v>0</v>
      </c>
      <c r="CV96" s="519"/>
      <c r="CW96" s="519"/>
      <c r="CX96" s="519">
        <f>IF(CX16="Orlov",0,CX27*CX14)</f>
        <v>0</v>
      </c>
      <c r="CY96" s="519">
        <f>IF(CY16="Orlov",0,CY27*CY14)</f>
        <v>0</v>
      </c>
      <c r="CZ96" s="519">
        <f>IF(CZ16="Orlov",0,CZ27*CZ14)</f>
        <v>0</v>
      </c>
      <c r="DA96" s="519">
        <f>IF(DA16="Orlov",0,DA27*DA14)</f>
        <v>0</v>
      </c>
      <c r="DB96" s="519">
        <f>IF(DB16="Orlov",0,DB27*DB14)</f>
        <v>0</v>
      </c>
      <c r="DC96" s="519"/>
      <c r="DD96" s="519"/>
    </row>
    <row r="97" spans="1:108" ht="13" hidden="1" customHeight="1">
      <c r="A97" s="542"/>
      <c r="B97" s="519" t="s">
        <v>675</v>
      </c>
      <c r="C97" s="519">
        <f>IF(C16="orlov",0,C27*C14)</f>
        <v>0</v>
      </c>
      <c r="D97" s="519">
        <f>IF(D16="orlov",0,D27*D14)</f>
        <v>0</v>
      </c>
      <c r="E97" s="519"/>
      <c r="F97" s="519"/>
      <c r="G97" s="519"/>
      <c r="H97" s="519"/>
      <c r="I97" s="519"/>
      <c r="J97" s="519"/>
      <c r="K97" s="519"/>
      <c r="L97" s="519"/>
      <c r="M97" s="519"/>
      <c r="N97" s="519"/>
      <c r="O97" s="519"/>
      <c r="P97" s="519"/>
      <c r="Q97" s="519"/>
      <c r="R97" s="519"/>
      <c r="S97" s="519"/>
      <c r="T97" s="519"/>
      <c r="U97" s="519"/>
      <c r="V97" s="519"/>
      <c r="W97" s="519"/>
      <c r="X97" s="519">
        <f>IF(X16="orlov",0,X27*X14)</f>
        <v>0</v>
      </c>
      <c r="Y97" s="519">
        <f>IF(Y16="orlov",0,Y27*Y14)</f>
        <v>0</v>
      </c>
      <c r="Z97" s="519">
        <f>IF(Z16="orlov",0,Z27*Z14)</f>
        <v>0</v>
      </c>
      <c r="AA97" s="519"/>
      <c r="AB97" s="519"/>
      <c r="AC97" s="519"/>
      <c r="AD97" s="519"/>
      <c r="AE97" s="519"/>
      <c r="AF97" s="519"/>
      <c r="AG97" s="519"/>
      <c r="AH97" s="519"/>
      <c r="AI97" s="519"/>
      <c r="AJ97" s="519"/>
      <c r="AK97" s="519"/>
      <c r="AL97" s="519"/>
      <c r="AM97" s="519"/>
      <c r="AN97" s="519"/>
      <c r="AO97" s="519"/>
      <c r="AP97" s="519"/>
      <c r="AQ97" s="519"/>
      <c r="AR97" s="519"/>
      <c r="AS97" s="519"/>
      <c r="AT97" s="519"/>
      <c r="AU97" s="519"/>
      <c r="AV97" s="519"/>
      <c r="AW97" s="519"/>
      <c r="AX97" s="519"/>
      <c r="AY97" s="519"/>
      <c r="AZ97" s="519"/>
      <c r="BA97" s="519"/>
      <c r="BB97" s="519"/>
      <c r="BC97" s="519"/>
      <c r="BD97" s="519"/>
      <c r="BE97" s="519"/>
      <c r="BF97" s="519"/>
      <c r="BG97" s="519"/>
      <c r="BH97" s="519"/>
      <c r="BI97" s="519"/>
      <c r="BJ97" s="519"/>
      <c r="BK97" s="519"/>
      <c r="BL97" s="519"/>
      <c r="BM97" s="519"/>
      <c r="BN97" s="519"/>
      <c r="BO97" s="519"/>
      <c r="BP97" s="519"/>
      <c r="BQ97" s="519"/>
      <c r="BR97" s="519"/>
      <c r="BS97" s="519"/>
      <c r="BT97" s="519"/>
      <c r="BU97" s="519"/>
      <c r="BV97" s="519"/>
      <c r="BW97" s="519"/>
      <c r="BX97" s="519"/>
      <c r="BY97" s="519"/>
      <c r="BZ97" s="519"/>
      <c r="CA97" s="519"/>
      <c r="CB97" s="519"/>
      <c r="CC97" s="519"/>
      <c r="CD97" s="519"/>
      <c r="CE97" s="519"/>
      <c r="CF97" s="519"/>
      <c r="CG97" s="519"/>
      <c r="CH97" s="519"/>
      <c r="CI97" s="519"/>
      <c r="CJ97" s="519"/>
      <c r="CK97" s="519"/>
      <c r="CL97" s="519"/>
      <c r="CM97" s="519"/>
      <c r="CN97" s="519"/>
      <c r="CO97" s="519"/>
      <c r="CP97" s="519"/>
      <c r="CQ97" s="519"/>
      <c r="CR97" s="519"/>
      <c r="CS97" s="519"/>
      <c r="CT97" s="519"/>
      <c r="CU97" s="519"/>
      <c r="CV97" s="519"/>
      <c r="CW97" s="519"/>
      <c r="CX97" s="519"/>
      <c r="CY97" s="519"/>
      <c r="CZ97" s="519"/>
      <c r="DA97" s="519"/>
      <c r="DB97" s="519"/>
      <c r="DC97" s="519"/>
      <c r="DD97" s="519"/>
    </row>
    <row r="98" spans="1:108" ht="13" hidden="1" customHeight="1">
      <c r="A98" s="542"/>
      <c r="B98" s="519" t="s">
        <v>555</v>
      </c>
      <c r="C98" s="519"/>
      <c r="D98" s="519"/>
      <c r="E98" s="519"/>
      <c r="F98" s="519"/>
      <c r="G98" s="519"/>
      <c r="H98" s="519"/>
      <c r="I98" s="519"/>
      <c r="J98" s="519"/>
      <c r="K98" s="519"/>
      <c r="L98" s="519"/>
      <c r="M98" s="519"/>
      <c r="N98" s="519"/>
      <c r="O98" s="519"/>
      <c r="P98" s="519"/>
      <c r="Q98" s="519"/>
      <c r="R98" s="519"/>
      <c r="S98" s="519"/>
      <c r="T98" s="519"/>
      <c r="U98" s="519"/>
      <c r="V98" s="519">
        <f>V26*V14</f>
        <v>0</v>
      </c>
      <c r="W98" s="519">
        <f>W26*W14</f>
        <v>0</v>
      </c>
      <c r="X98" s="519"/>
      <c r="Y98" s="519"/>
      <c r="Z98" s="519"/>
      <c r="AA98" s="519"/>
      <c r="AB98" s="519"/>
      <c r="AC98" s="519"/>
      <c r="AD98" s="519"/>
      <c r="AE98" s="519"/>
      <c r="AF98" s="519"/>
      <c r="AG98" s="519"/>
      <c r="AH98" s="519"/>
      <c r="AI98" s="519"/>
      <c r="AJ98" s="519"/>
      <c r="AK98" s="519"/>
      <c r="AL98" s="519"/>
      <c r="AM98" s="519"/>
      <c r="AN98" s="519"/>
      <c r="AO98" s="519"/>
      <c r="AP98" s="519"/>
      <c r="AQ98" s="519"/>
      <c r="AR98" s="519"/>
      <c r="AS98" s="519"/>
      <c r="AT98" s="519"/>
      <c r="AU98" s="519"/>
      <c r="AV98" s="519"/>
      <c r="AW98" s="519"/>
      <c r="AX98" s="519"/>
      <c r="AY98" s="519"/>
      <c r="AZ98" s="519">
        <f>AZ26*AZ14</f>
        <v>0</v>
      </c>
      <c r="BA98" s="519">
        <f>BA26*BA14</f>
        <v>0</v>
      </c>
      <c r="BB98" s="519"/>
      <c r="BC98" s="519"/>
      <c r="BD98" s="519"/>
      <c r="BE98" s="519"/>
      <c r="BF98" s="519"/>
      <c r="BG98" s="519"/>
      <c r="BH98" s="519"/>
      <c r="BI98" s="519"/>
      <c r="BJ98" s="519"/>
      <c r="BK98" s="519"/>
      <c r="BL98" s="519"/>
      <c r="BM98" s="519">
        <f>BM26*BM14</f>
        <v>0</v>
      </c>
      <c r="BN98" s="519">
        <f>BN26*BN14</f>
        <v>0</v>
      </c>
      <c r="BO98" s="519"/>
      <c r="BP98" s="519"/>
      <c r="BQ98" s="519"/>
      <c r="BR98" s="519"/>
      <c r="BS98" s="519"/>
      <c r="BT98" s="519"/>
      <c r="BU98" s="519"/>
      <c r="BV98" s="519"/>
      <c r="BW98" s="519"/>
      <c r="BX98" s="519"/>
      <c r="BY98" s="519">
        <f>BY26*BY14</f>
        <v>0</v>
      </c>
      <c r="BZ98" s="519">
        <f>BZ26*BZ14</f>
        <v>0</v>
      </c>
      <c r="CA98" s="519"/>
      <c r="CB98" s="519"/>
      <c r="CC98" s="519"/>
      <c r="CD98" s="519"/>
      <c r="CE98" s="519"/>
      <c r="CF98" s="519"/>
      <c r="CG98" s="519"/>
      <c r="CH98" s="519"/>
      <c r="CI98" s="519">
        <f>CI26*CI14</f>
        <v>0</v>
      </c>
      <c r="CJ98" s="519">
        <f>CJ26*CJ14</f>
        <v>0</v>
      </c>
      <c r="CK98" s="519"/>
      <c r="CL98" s="519"/>
      <c r="CM98" s="519"/>
      <c r="CN98" s="519"/>
      <c r="CO98" s="519"/>
      <c r="CP98" s="519"/>
      <c r="CQ98" s="519"/>
      <c r="CR98" s="519"/>
      <c r="CS98" s="519"/>
      <c r="CT98" s="519"/>
      <c r="CU98" s="519"/>
      <c r="CV98" s="519">
        <f>CV26*CV14</f>
        <v>0</v>
      </c>
      <c r="CW98" s="519">
        <f>CW26*CW14</f>
        <v>0</v>
      </c>
      <c r="CX98" s="519"/>
      <c r="CY98" s="519"/>
      <c r="CZ98" s="519"/>
      <c r="DA98" s="519"/>
      <c r="DB98" s="519"/>
      <c r="DC98" s="519">
        <f>DC26*DC14</f>
        <v>0</v>
      </c>
      <c r="DD98" s="519">
        <f>DD26*DD14</f>
        <v>0</v>
      </c>
    </row>
    <row r="99" spans="1:108" ht="13" hidden="1" customHeight="1">
      <c r="A99" s="542"/>
      <c r="B99" s="519" t="s">
        <v>676</v>
      </c>
      <c r="C99" s="519">
        <f>IF(C16="Orlov",0,(C28*C12)+(C28*C13))</f>
        <v>0</v>
      </c>
      <c r="D99" s="519">
        <f>IF(D16="Orlov",0,D28*D12+D28*D13)</f>
        <v>0</v>
      </c>
      <c r="E99" s="519">
        <f t="shared" ref="E99:BB99" si="423">IF(E16="Orlov",0,E28*E14)</f>
        <v>0</v>
      </c>
      <c r="F99" s="519">
        <f t="shared" ref="F99" si="424">IF(F16="Orlov",0,F28*F14)</f>
        <v>0</v>
      </c>
      <c r="G99" s="519">
        <f t="shared" si="423"/>
        <v>0</v>
      </c>
      <c r="H99" s="519">
        <f t="shared" si="423"/>
        <v>0</v>
      </c>
      <c r="I99" s="519">
        <f t="shared" ref="I99" si="425">IF(I16="Orlov",0,I28*I14)</f>
        <v>0</v>
      </c>
      <c r="J99" s="519">
        <f t="shared" si="423"/>
        <v>0</v>
      </c>
      <c r="K99" s="519">
        <f t="shared" si="423"/>
        <v>0</v>
      </c>
      <c r="L99" s="519">
        <f t="shared" si="423"/>
        <v>0</v>
      </c>
      <c r="M99" s="519">
        <f t="shared" si="423"/>
        <v>0</v>
      </c>
      <c r="N99" s="519">
        <f t="shared" si="423"/>
        <v>0</v>
      </c>
      <c r="O99" s="519">
        <f t="shared" si="423"/>
        <v>0</v>
      </c>
      <c r="P99" s="519">
        <f t="shared" si="423"/>
        <v>0</v>
      </c>
      <c r="Q99" s="519">
        <f t="shared" si="423"/>
        <v>0</v>
      </c>
      <c r="R99" s="519">
        <f t="shared" si="423"/>
        <v>0</v>
      </c>
      <c r="S99" s="519">
        <f t="shared" si="423"/>
        <v>0</v>
      </c>
      <c r="T99" s="519">
        <f t="shared" si="423"/>
        <v>0</v>
      </c>
      <c r="U99" s="519">
        <f t="shared" si="423"/>
        <v>0</v>
      </c>
      <c r="V99" s="519">
        <f t="shared" si="423"/>
        <v>0</v>
      </c>
      <c r="W99" s="519">
        <f t="shared" si="423"/>
        <v>0</v>
      </c>
      <c r="X99" s="519">
        <f t="shared" si="423"/>
        <v>0</v>
      </c>
      <c r="Y99" s="519">
        <f t="shared" ref="Y99" si="426">IF(Y16="Orlov",0,Y28*Y14)</f>
        <v>0</v>
      </c>
      <c r="Z99" s="519">
        <f t="shared" si="423"/>
        <v>0</v>
      </c>
      <c r="AA99" s="519">
        <f t="shared" si="423"/>
        <v>0</v>
      </c>
      <c r="AB99" s="519">
        <f t="shared" si="423"/>
        <v>0</v>
      </c>
      <c r="AC99" s="519">
        <f t="shared" si="423"/>
        <v>0</v>
      </c>
      <c r="AD99" s="519">
        <f t="shared" si="423"/>
        <v>0</v>
      </c>
      <c r="AE99" s="519">
        <f t="shared" ref="AE99" si="427">IF(AE16="Orlov",0,AE28*AE14)</f>
        <v>0</v>
      </c>
      <c r="AF99" s="519">
        <f t="shared" si="423"/>
        <v>0</v>
      </c>
      <c r="AG99" s="519">
        <f t="shared" si="423"/>
        <v>0</v>
      </c>
      <c r="AH99" s="519">
        <f t="shared" si="423"/>
        <v>0</v>
      </c>
      <c r="AI99" s="519">
        <f t="shared" si="423"/>
        <v>0</v>
      </c>
      <c r="AJ99" s="519">
        <f t="shared" si="423"/>
        <v>0</v>
      </c>
      <c r="AK99" s="519">
        <f t="shared" ref="AK99:AN99" si="428">IF(AK16="Orlov",0,AK28*AK14)</f>
        <v>0</v>
      </c>
      <c r="AL99" s="519">
        <f t="shared" si="428"/>
        <v>0</v>
      </c>
      <c r="AM99" s="519">
        <f t="shared" si="428"/>
        <v>0</v>
      </c>
      <c r="AN99" s="519">
        <f t="shared" si="428"/>
        <v>0</v>
      </c>
      <c r="AO99" s="519">
        <f t="shared" ref="AO99:AY99" si="429">IF(AO16="Orlov",0,AO28*AO14)</f>
        <v>0</v>
      </c>
      <c r="AP99" s="519">
        <f t="shared" si="429"/>
        <v>0</v>
      </c>
      <c r="AQ99" s="519">
        <f t="shared" si="429"/>
        <v>0</v>
      </c>
      <c r="AR99" s="519">
        <f t="shared" si="429"/>
        <v>0</v>
      </c>
      <c r="AS99" s="519">
        <f t="shared" si="429"/>
        <v>0</v>
      </c>
      <c r="AT99" s="519">
        <f t="shared" si="429"/>
        <v>0</v>
      </c>
      <c r="AU99" s="519">
        <f t="shared" si="429"/>
        <v>0</v>
      </c>
      <c r="AV99" s="519">
        <f t="shared" si="429"/>
        <v>0</v>
      </c>
      <c r="AW99" s="519">
        <f t="shared" si="429"/>
        <v>0</v>
      </c>
      <c r="AX99" s="519">
        <f t="shared" si="429"/>
        <v>0</v>
      </c>
      <c r="AY99" s="519">
        <f t="shared" si="429"/>
        <v>0</v>
      </c>
      <c r="AZ99" s="519">
        <f t="shared" si="423"/>
        <v>0</v>
      </c>
      <c r="BA99" s="519">
        <f t="shared" si="423"/>
        <v>0</v>
      </c>
      <c r="BB99" s="519">
        <f t="shared" si="423"/>
        <v>0</v>
      </c>
      <c r="BC99" s="519">
        <f t="shared" ref="BC99" si="430">IF(BC16="Orlov",0,BC28*BC14)</f>
        <v>0</v>
      </c>
      <c r="BD99" s="519">
        <f t="shared" ref="BD99:CM99" si="431">IF(BD16="Orlov",0,BD28*BD14)</f>
        <v>0</v>
      </c>
      <c r="BE99" s="519">
        <f t="shared" si="431"/>
        <v>0</v>
      </c>
      <c r="BF99" s="519">
        <f t="shared" si="431"/>
        <v>0</v>
      </c>
      <c r="BG99" s="519">
        <f t="shared" si="431"/>
        <v>0</v>
      </c>
      <c r="BH99" s="519">
        <f t="shared" si="431"/>
        <v>0</v>
      </c>
      <c r="BI99" s="519">
        <f t="shared" si="431"/>
        <v>0</v>
      </c>
      <c r="BJ99" s="519">
        <f t="shared" si="431"/>
        <v>0</v>
      </c>
      <c r="BK99" s="519">
        <f t="shared" si="431"/>
        <v>0</v>
      </c>
      <c r="BL99" s="519">
        <f t="shared" si="431"/>
        <v>0</v>
      </c>
      <c r="BM99" s="519">
        <f t="shared" si="431"/>
        <v>0</v>
      </c>
      <c r="BN99" s="519">
        <f t="shared" si="431"/>
        <v>0</v>
      </c>
      <c r="BO99" s="519">
        <f t="shared" si="431"/>
        <v>0</v>
      </c>
      <c r="BP99" s="519">
        <f t="shared" si="431"/>
        <v>0</v>
      </c>
      <c r="BQ99" s="519">
        <f t="shared" si="431"/>
        <v>0</v>
      </c>
      <c r="BR99" s="519">
        <f t="shared" si="431"/>
        <v>0</v>
      </c>
      <c r="BS99" s="519">
        <f t="shared" si="431"/>
        <v>0</v>
      </c>
      <c r="BT99" s="519">
        <f t="shared" si="431"/>
        <v>0</v>
      </c>
      <c r="BU99" s="519">
        <f t="shared" si="431"/>
        <v>0</v>
      </c>
      <c r="BV99" s="519">
        <f t="shared" si="431"/>
        <v>0</v>
      </c>
      <c r="BW99" s="519">
        <f t="shared" si="431"/>
        <v>0</v>
      </c>
      <c r="BX99" s="519">
        <f t="shared" si="431"/>
        <v>0</v>
      </c>
      <c r="BY99" s="519">
        <f t="shared" si="431"/>
        <v>0</v>
      </c>
      <c r="BZ99" s="519">
        <f t="shared" si="431"/>
        <v>0</v>
      </c>
      <c r="CA99" s="519">
        <f t="shared" si="431"/>
        <v>0</v>
      </c>
      <c r="CB99" s="519">
        <f t="shared" si="431"/>
        <v>0</v>
      </c>
      <c r="CC99" s="519">
        <f t="shared" si="431"/>
        <v>0</v>
      </c>
      <c r="CD99" s="519">
        <f t="shared" ref="CD99" si="432">IF(CD16="Orlov",0,CD28*CD14)</f>
        <v>0</v>
      </c>
      <c r="CE99" s="519">
        <f t="shared" si="431"/>
        <v>0</v>
      </c>
      <c r="CF99" s="519">
        <f t="shared" ref="CF99:CG99" si="433">IF(CF16="Orlov",0,CF28*CF14)</f>
        <v>0</v>
      </c>
      <c r="CG99" s="519">
        <f t="shared" si="433"/>
        <v>0</v>
      </c>
      <c r="CH99" s="519">
        <f t="shared" si="431"/>
        <v>0</v>
      </c>
      <c r="CI99" s="519">
        <f t="shared" si="431"/>
        <v>0</v>
      </c>
      <c r="CJ99" s="519">
        <f t="shared" si="431"/>
        <v>0</v>
      </c>
      <c r="CK99" s="519">
        <f t="shared" si="431"/>
        <v>0</v>
      </c>
      <c r="CL99" s="519">
        <f t="shared" si="431"/>
        <v>0</v>
      </c>
      <c r="CM99" s="519">
        <f t="shared" si="431"/>
        <v>0</v>
      </c>
      <c r="CN99" s="519">
        <f t="shared" ref="CN99:DD99" si="434">IF(CN16="Orlov",0,CN28*CN14)</f>
        <v>0</v>
      </c>
      <c r="CO99" s="519">
        <f t="shared" si="434"/>
        <v>0</v>
      </c>
      <c r="CP99" s="519">
        <f t="shared" si="434"/>
        <v>0</v>
      </c>
      <c r="CQ99" s="519">
        <f t="shared" si="434"/>
        <v>0</v>
      </c>
      <c r="CR99" s="519">
        <f t="shared" si="434"/>
        <v>0</v>
      </c>
      <c r="CS99" s="519">
        <f t="shared" si="434"/>
        <v>0</v>
      </c>
      <c r="CT99" s="519">
        <f t="shared" si="434"/>
        <v>0</v>
      </c>
      <c r="CU99" s="519">
        <f t="shared" si="434"/>
        <v>0</v>
      </c>
      <c r="CV99" s="519">
        <f t="shared" si="434"/>
        <v>0</v>
      </c>
      <c r="CW99" s="519">
        <f t="shared" si="434"/>
        <v>0</v>
      </c>
      <c r="CX99" s="519">
        <f t="shared" si="434"/>
        <v>0</v>
      </c>
      <c r="CY99" s="519">
        <f t="shared" si="434"/>
        <v>0</v>
      </c>
      <c r="CZ99" s="519">
        <f t="shared" si="434"/>
        <v>0</v>
      </c>
      <c r="DA99" s="519">
        <f t="shared" si="434"/>
        <v>0</v>
      </c>
      <c r="DB99" s="519">
        <f t="shared" si="434"/>
        <v>0</v>
      </c>
      <c r="DC99" s="519">
        <f t="shared" si="434"/>
        <v>0</v>
      </c>
      <c r="DD99" s="519">
        <f t="shared" si="434"/>
        <v>0</v>
      </c>
    </row>
    <row r="100" spans="1:108" ht="13" hidden="1" customHeight="1">
      <c r="A100" s="542"/>
      <c r="B100" s="519" t="s">
        <v>620</v>
      </c>
      <c r="C100" s="519">
        <f t="shared" ref="C100:AZ100" si="435">IF(C16="Orlov",0,C30*C14)</f>
        <v>0</v>
      </c>
      <c r="D100" s="519">
        <f t="shared" si="435"/>
        <v>0</v>
      </c>
      <c r="E100" s="519">
        <f t="shared" si="435"/>
        <v>0</v>
      </c>
      <c r="F100" s="519">
        <f t="shared" ref="F100" si="436">IF(F16="Orlov",0,F30*F14)</f>
        <v>0</v>
      </c>
      <c r="G100" s="519">
        <f t="shared" si="435"/>
        <v>0</v>
      </c>
      <c r="H100" s="519">
        <f t="shared" si="435"/>
        <v>0</v>
      </c>
      <c r="I100" s="519">
        <f t="shared" ref="I100" si="437">IF(I16="Orlov",0,I30*I14)</f>
        <v>0</v>
      </c>
      <c r="J100" s="519">
        <f t="shared" si="435"/>
        <v>0</v>
      </c>
      <c r="K100" s="519">
        <f t="shared" si="435"/>
        <v>0</v>
      </c>
      <c r="L100" s="519">
        <f t="shared" si="435"/>
        <v>0</v>
      </c>
      <c r="M100" s="519">
        <f t="shared" si="435"/>
        <v>0</v>
      </c>
      <c r="N100" s="519">
        <f t="shared" si="435"/>
        <v>0</v>
      </c>
      <c r="O100" s="519">
        <f t="shared" si="435"/>
        <v>0</v>
      </c>
      <c r="P100" s="519">
        <f t="shared" si="435"/>
        <v>0</v>
      </c>
      <c r="Q100" s="519">
        <f t="shared" si="435"/>
        <v>0</v>
      </c>
      <c r="R100" s="519">
        <f t="shared" si="435"/>
        <v>0</v>
      </c>
      <c r="S100" s="519">
        <f t="shared" si="435"/>
        <v>0</v>
      </c>
      <c r="T100" s="519">
        <f t="shared" si="435"/>
        <v>0</v>
      </c>
      <c r="U100" s="519">
        <f t="shared" si="435"/>
        <v>0</v>
      </c>
      <c r="V100" s="519">
        <f t="shared" si="435"/>
        <v>0</v>
      </c>
      <c r="W100" s="519">
        <f t="shared" si="435"/>
        <v>0</v>
      </c>
      <c r="X100" s="519">
        <f t="shared" si="435"/>
        <v>0</v>
      </c>
      <c r="Y100" s="519">
        <f t="shared" ref="Y100" si="438">IF(Y16="Orlov",0,Y30*Y14)</f>
        <v>0</v>
      </c>
      <c r="Z100" s="519">
        <f t="shared" si="435"/>
        <v>0</v>
      </c>
      <c r="AA100" s="519">
        <f t="shared" si="435"/>
        <v>0</v>
      </c>
      <c r="AB100" s="519">
        <f t="shared" si="435"/>
        <v>0</v>
      </c>
      <c r="AC100" s="519">
        <f t="shared" si="435"/>
        <v>0</v>
      </c>
      <c r="AD100" s="519">
        <f t="shared" si="435"/>
        <v>0</v>
      </c>
      <c r="AE100" s="519">
        <f t="shared" ref="AE100" si="439">IF(AE16="Orlov",0,AE30*AE14)</f>
        <v>0</v>
      </c>
      <c r="AF100" s="519">
        <f t="shared" si="435"/>
        <v>0</v>
      </c>
      <c r="AG100" s="519">
        <f t="shared" si="435"/>
        <v>0</v>
      </c>
      <c r="AH100" s="519">
        <f t="shared" si="435"/>
        <v>0</v>
      </c>
      <c r="AI100" s="519">
        <f t="shared" si="435"/>
        <v>0</v>
      </c>
      <c r="AJ100" s="519">
        <f t="shared" si="435"/>
        <v>0</v>
      </c>
      <c r="AK100" s="519">
        <f t="shared" ref="AK100:AN100" si="440">IF(AK16="Orlov",0,AK30*AK14)</f>
        <v>0</v>
      </c>
      <c r="AL100" s="519">
        <f t="shared" si="440"/>
        <v>0</v>
      </c>
      <c r="AM100" s="519">
        <f t="shared" si="440"/>
        <v>0</v>
      </c>
      <c r="AN100" s="519">
        <f t="shared" si="440"/>
        <v>0</v>
      </c>
      <c r="AO100" s="519">
        <f t="shared" ref="AO100:AY100" si="441">IF(AO16="Orlov",0,AO30*AO14)</f>
        <v>0</v>
      </c>
      <c r="AP100" s="519">
        <f t="shared" si="441"/>
        <v>0</v>
      </c>
      <c r="AQ100" s="519">
        <f t="shared" si="441"/>
        <v>0</v>
      </c>
      <c r="AR100" s="519">
        <f t="shared" si="441"/>
        <v>0</v>
      </c>
      <c r="AS100" s="519">
        <f t="shared" si="441"/>
        <v>0</v>
      </c>
      <c r="AT100" s="519">
        <f t="shared" si="441"/>
        <v>0</v>
      </c>
      <c r="AU100" s="519">
        <f t="shared" si="441"/>
        <v>0</v>
      </c>
      <c r="AV100" s="519">
        <f t="shared" si="441"/>
        <v>0</v>
      </c>
      <c r="AW100" s="519">
        <f t="shared" si="441"/>
        <v>0</v>
      </c>
      <c r="AX100" s="519">
        <f t="shared" si="441"/>
        <v>0</v>
      </c>
      <c r="AY100" s="519">
        <f t="shared" si="441"/>
        <v>0</v>
      </c>
      <c r="AZ100" s="519">
        <f t="shared" si="435"/>
        <v>0</v>
      </c>
      <c r="BA100" s="519">
        <f t="shared" ref="BA100:CL100" si="442">IF(BA16="Orlov",0,BA30*BA14)</f>
        <v>0</v>
      </c>
      <c r="BB100" s="519">
        <f t="shared" si="442"/>
        <v>0</v>
      </c>
      <c r="BC100" s="519">
        <f t="shared" ref="BC100" si="443">IF(BC16="Orlov",0,BC30*BC14)</f>
        <v>0</v>
      </c>
      <c r="BD100" s="519">
        <f t="shared" si="442"/>
        <v>0</v>
      </c>
      <c r="BE100" s="519">
        <f t="shared" si="442"/>
        <v>0</v>
      </c>
      <c r="BF100" s="519">
        <f t="shared" si="442"/>
        <v>0</v>
      </c>
      <c r="BG100" s="519">
        <f t="shared" si="442"/>
        <v>0</v>
      </c>
      <c r="BH100" s="519">
        <f t="shared" si="442"/>
        <v>0</v>
      </c>
      <c r="BI100" s="519">
        <f t="shared" si="442"/>
        <v>0</v>
      </c>
      <c r="BJ100" s="519">
        <f t="shared" si="442"/>
        <v>0</v>
      </c>
      <c r="BK100" s="519">
        <f t="shared" si="442"/>
        <v>0</v>
      </c>
      <c r="BL100" s="519">
        <f t="shared" si="442"/>
        <v>0</v>
      </c>
      <c r="BM100" s="519">
        <f t="shared" si="442"/>
        <v>0</v>
      </c>
      <c r="BN100" s="519">
        <f t="shared" si="442"/>
        <v>0</v>
      </c>
      <c r="BO100" s="519">
        <f t="shared" si="442"/>
        <v>0</v>
      </c>
      <c r="BP100" s="519">
        <f t="shared" si="442"/>
        <v>0</v>
      </c>
      <c r="BQ100" s="519">
        <f t="shared" si="442"/>
        <v>0</v>
      </c>
      <c r="BR100" s="519">
        <f t="shared" si="442"/>
        <v>0</v>
      </c>
      <c r="BS100" s="519">
        <f t="shared" si="442"/>
        <v>0</v>
      </c>
      <c r="BT100" s="519">
        <f t="shared" si="442"/>
        <v>0</v>
      </c>
      <c r="BU100" s="519">
        <f t="shared" si="442"/>
        <v>0</v>
      </c>
      <c r="BV100" s="519">
        <f t="shared" si="442"/>
        <v>0</v>
      </c>
      <c r="BW100" s="519">
        <f t="shared" si="442"/>
        <v>0</v>
      </c>
      <c r="BX100" s="519">
        <f t="shared" si="442"/>
        <v>0</v>
      </c>
      <c r="BY100" s="519">
        <f t="shared" si="442"/>
        <v>0</v>
      </c>
      <c r="BZ100" s="519">
        <f t="shared" si="442"/>
        <v>0</v>
      </c>
      <c r="CA100" s="519">
        <f t="shared" si="442"/>
        <v>0</v>
      </c>
      <c r="CB100" s="519">
        <f t="shared" si="442"/>
        <v>0</v>
      </c>
      <c r="CC100" s="519">
        <f t="shared" si="442"/>
        <v>0</v>
      </c>
      <c r="CD100" s="519">
        <f t="shared" ref="CD100" si="444">IF(CD16="Orlov",0,CD30*CD14)</f>
        <v>0</v>
      </c>
      <c r="CE100" s="519">
        <f t="shared" si="442"/>
        <v>0</v>
      </c>
      <c r="CF100" s="519">
        <f t="shared" ref="CF100:CG100" si="445">IF(CF16="Orlov",0,CF30*CF14)</f>
        <v>0</v>
      </c>
      <c r="CG100" s="519">
        <f t="shared" si="445"/>
        <v>0</v>
      </c>
      <c r="CH100" s="519">
        <f t="shared" si="442"/>
        <v>0</v>
      </c>
      <c r="CI100" s="519">
        <f t="shared" si="442"/>
        <v>0</v>
      </c>
      <c r="CJ100" s="519">
        <f t="shared" si="442"/>
        <v>0</v>
      </c>
      <c r="CK100" s="519">
        <f t="shared" si="442"/>
        <v>0</v>
      </c>
      <c r="CL100" s="519">
        <f t="shared" si="442"/>
        <v>0</v>
      </c>
      <c r="CM100" s="519"/>
      <c r="CN100" s="519"/>
      <c r="CO100" s="519"/>
      <c r="CP100" s="519"/>
      <c r="CQ100" s="519"/>
      <c r="CR100" s="519"/>
      <c r="CS100" s="519"/>
      <c r="CT100" s="519"/>
      <c r="CU100" s="519"/>
      <c r="CV100" s="519"/>
      <c r="CW100" s="519"/>
      <c r="CX100" s="519"/>
      <c r="CY100" s="519"/>
      <c r="CZ100" s="519"/>
      <c r="DA100" s="519"/>
      <c r="DB100" s="519"/>
      <c r="DC100" s="519"/>
      <c r="DD100" s="519"/>
    </row>
    <row r="101" spans="1:108" ht="13" hidden="1" customHeight="1">
      <c r="A101" s="542"/>
      <c r="B101" s="519" t="s">
        <v>560</v>
      </c>
      <c r="C101" s="519">
        <f>IF(C16="Orlov",0,(C31+C34)*C22/12*C14)</f>
        <v>0</v>
      </c>
      <c r="D101" s="519">
        <f>IF(D16="Orlov",0,D31*D22/12*D14)</f>
        <v>0</v>
      </c>
      <c r="E101" s="519">
        <f t="shared" ref="E101:BB101" si="446">IF(E16="Orlov",0,(E31+E34)*E22/12*E14)</f>
        <v>0</v>
      </c>
      <c r="F101" s="519">
        <f t="shared" ref="F101" si="447">IF(F16="Orlov",0,(F31+F34)*F22/12*F14)</f>
        <v>0</v>
      </c>
      <c r="G101" s="519">
        <f t="shared" si="446"/>
        <v>0</v>
      </c>
      <c r="H101" s="519">
        <f t="shared" si="446"/>
        <v>0</v>
      </c>
      <c r="I101" s="519">
        <f t="shared" ref="I101" si="448">IF(I16="Orlov",0,(I31+I34)*I22/12*I14)</f>
        <v>0</v>
      </c>
      <c r="J101" s="519">
        <f t="shared" si="446"/>
        <v>0</v>
      </c>
      <c r="K101" s="519">
        <f t="shared" si="446"/>
        <v>0</v>
      </c>
      <c r="L101" s="519">
        <f t="shared" si="446"/>
        <v>0</v>
      </c>
      <c r="M101" s="519">
        <f t="shared" si="446"/>
        <v>0</v>
      </c>
      <c r="N101" s="519">
        <f t="shared" si="446"/>
        <v>0</v>
      </c>
      <c r="O101" s="519">
        <f t="shared" si="446"/>
        <v>0</v>
      </c>
      <c r="P101" s="519">
        <f t="shared" si="446"/>
        <v>0</v>
      </c>
      <c r="Q101" s="519">
        <f t="shared" si="446"/>
        <v>0</v>
      </c>
      <c r="R101" s="519">
        <f t="shared" si="446"/>
        <v>0</v>
      </c>
      <c r="S101" s="519">
        <f t="shared" si="446"/>
        <v>0</v>
      </c>
      <c r="T101" s="519">
        <f t="shared" si="446"/>
        <v>0</v>
      </c>
      <c r="U101" s="519">
        <f t="shared" si="446"/>
        <v>0</v>
      </c>
      <c r="V101" s="519">
        <f t="shared" si="446"/>
        <v>0</v>
      </c>
      <c r="W101" s="519">
        <f t="shared" si="446"/>
        <v>0</v>
      </c>
      <c r="X101" s="519">
        <f t="shared" si="446"/>
        <v>0</v>
      </c>
      <c r="Y101" s="519">
        <f t="shared" ref="Y101" si="449">IF(Y16="Orlov",0,(Y31+Y34)*Y22/12*Y14)</f>
        <v>0</v>
      </c>
      <c r="Z101" s="519">
        <f t="shared" si="446"/>
        <v>0</v>
      </c>
      <c r="AA101" s="519">
        <f t="shared" si="446"/>
        <v>0</v>
      </c>
      <c r="AB101" s="519">
        <f t="shared" si="446"/>
        <v>0</v>
      </c>
      <c r="AC101" s="519">
        <f t="shared" si="446"/>
        <v>0</v>
      </c>
      <c r="AD101" s="519">
        <f t="shared" si="446"/>
        <v>0</v>
      </c>
      <c r="AE101" s="519">
        <f t="shared" ref="AE101" si="450">IF(AE16="Orlov",0,(AE31+AE34)*AE22/12*AE14)</f>
        <v>0</v>
      </c>
      <c r="AF101" s="519">
        <f t="shared" si="446"/>
        <v>0</v>
      </c>
      <c r="AG101" s="519">
        <f t="shared" si="446"/>
        <v>0</v>
      </c>
      <c r="AH101" s="519">
        <f t="shared" si="446"/>
        <v>0</v>
      </c>
      <c r="AI101" s="519">
        <f t="shared" si="446"/>
        <v>0</v>
      </c>
      <c r="AJ101" s="519">
        <f t="shared" si="446"/>
        <v>0</v>
      </c>
      <c r="AK101" s="519">
        <f t="shared" ref="AK101:AN101" si="451">IF(AK16="Orlov",0,(AK31+AK34)*AK22/12*AK14)</f>
        <v>0</v>
      </c>
      <c r="AL101" s="519">
        <f t="shared" si="451"/>
        <v>0</v>
      </c>
      <c r="AM101" s="519">
        <f t="shared" si="451"/>
        <v>0</v>
      </c>
      <c r="AN101" s="519">
        <f t="shared" si="451"/>
        <v>0</v>
      </c>
      <c r="AO101" s="519">
        <f t="shared" ref="AO101:AY101" si="452">IF(AO16="Orlov",0,(AO31+AO34)*AO22/12*AO14)</f>
        <v>0</v>
      </c>
      <c r="AP101" s="519">
        <f t="shared" si="452"/>
        <v>0</v>
      </c>
      <c r="AQ101" s="519">
        <f t="shared" si="452"/>
        <v>0</v>
      </c>
      <c r="AR101" s="519">
        <f t="shared" si="452"/>
        <v>0</v>
      </c>
      <c r="AS101" s="519">
        <f t="shared" si="452"/>
        <v>0</v>
      </c>
      <c r="AT101" s="519">
        <f t="shared" si="452"/>
        <v>0</v>
      </c>
      <c r="AU101" s="519">
        <f t="shared" si="452"/>
        <v>0</v>
      </c>
      <c r="AV101" s="519">
        <f t="shared" si="452"/>
        <v>0</v>
      </c>
      <c r="AW101" s="519">
        <f t="shared" si="452"/>
        <v>0</v>
      </c>
      <c r="AX101" s="519">
        <f t="shared" si="452"/>
        <v>0</v>
      </c>
      <c r="AY101" s="519">
        <f t="shared" si="452"/>
        <v>0</v>
      </c>
      <c r="AZ101" s="519">
        <f t="shared" si="446"/>
        <v>0</v>
      </c>
      <c r="BA101" s="519">
        <f t="shared" si="446"/>
        <v>0</v>
      </c>
      <c r="BB101" s="519">
        <f t="shared" si="446"/>
        <v>0</v>
      </c>
      <c r="BC101" s="519">
        <f t="shared" ref="BC101" si="453">IF(BC16="Orlov",0,(BC31+BC34)*BC22/12*BC14)</f>
        <v>0</v>
      </c>
      <c r="BD101" s="519">
        <f t="shared" ref="BD101:CM101" si="454">IF(BD16="Orlov",0,(BD31+BD34)*BD22/12*BD14)</f>
        <v>0</v>
      </c>
      <c r="BE101" s="519">
        <f t="shared" si="454"/>
        <v>0</v>
      </c>
      <c r="BF101" s="519">
        <f t="shared" si="454"/>
        <v>0</v>
      </c>
      <c r="BG101" s="519">
        <f t="shared" si="454"/>
        <v>0</v>
      </c>
      <c r="BH101" s="519">
        <f t="shared" si="454"/>
        <v>0</v>
      </c>
      <c r="BI101" s="519">
        <f t="shared" si="454"/>
        <v>0</v>
      </c>
      <c r="BJ101" s="519">
        <f t="shared" si="454"/>
        <v>0</v>
      </c>
      <c r="BK101" s="519">
        <f t="shared" si="454"/>
        <v>0</v>
      </c>
      <c r="BL101" s="519">
        <f t="shared" si="454"/>
        <v>0</v>
      </c>
      <c r="BM101" s="519">
        <f t="shared" si="454"/>
        <v>0</v>
      </c>
      <c r="BN101" s="519">
        <f t="shared" si="454"/>
        <v>0</v>
      </c>
      <c r="BO101" s="519">
        <f t="shared" si="454"/>
        <v>0</v>
      </c>
      <c r="BP101" s="519">
        <f t="shared" si="454"/>
        <v>0</v>
      </c>
      <c r="BQ101" s="519">
        <f t="shared" si="454"/>
        <v>0</v>
      </c>
      <c r="BR101" s="519">
        <f t="shared" si="454"/>
        <v>0</v>
      </c>
      <c r="BS101" s="519">
        <f t="shared" si="454"/>
        <v>0</v>
      </c>
      <c r="BT101" s="519">
        <f t="shared" si="454"/>
        <v>0</v>
      </c>
      <c r="BU101" s="519">
        <f t="shared" si="454"/>
        <v>0</v>
      </c>
      <c r="BV101" s="519">
        <f t="shared" si="454"/>
        <v>0</v>
      </c>
      <c r="BW101" s="519">
        <f t="shared" si="454"/>
        <v>0</v>
      </c>
      <c r="BX101" s="519">
        <f t="shared" si="454"/>
        <v>0</v>
      </c>
      <c r="BY101" s="519">
        <f t="shared" si="454"/>
        <v>0</v>
      </c>
      <c r="BZ101" s="519">
        <f t="shared" si="454"/>
        <v>0</v>
      </c>
      <c r="CA101" s="519">
        <f t="shared" si="454"/>
        <v>0</v>
      </c>
      <c r="CB101" s="519">
        <f t="shared" si="454"/>
        <v>0</v>
      </c>
      <c r="CC101" s="519">
        <f t="shared" si="454"/>
        <v>0</v>
      </c>
      <c r="CD101" s="519">
        <f t="shared" ref="CD101" si="455">IF(CD16="Orlov",0,(CD31+CD34)*CD22/12*CD14)</f>
        <v>0</v>
      </c>
      <c r="CE101" s="519">
        <f t="shared" si="454"/>
        <v>0</v>
      </c>
      <c r="CF101" s="519">
        <f t="shared" ref="CF101:CG101" si="456">IF(CF16="Orlov",0,(CF31+CF34)*CF22/12*CF14)</f>
        <v>0</v>
      </c>
      <c r="CG101" s="519">
        <f t="shared" si="456"/>
        <v>0</v>
      </c>
      <c r="CH101" s="519">
        <f t="shared" si="454"/>
        <v>0</v>
      </c>
      <c r="CI101" s="519">
        <f t="shared" si="454"/>
        <v>0</v>
      </c>
      <c r="CJ101" s="519">
        <f t="shared" si="454"/>
        <v>0</v>
      </c>
      <c r="CK101" s="519">
        <f t="shared" si="454"/>
        <v>0</v>
      </c>
      <c r="CL101" s="519">
        <f t="shared" si="454"/>
        <v>0</v>
      </c>
      <c r="CM101" s="519">
        <f t="shared" si="454"/>
        <v>0</v>
      </c>
      <c r="CN101" s="519">
        <f t="shared" ref="CN101:DD101" si="457">IF(CN16="Orlov",0,(CN31+CN34)*CN22/12*CN14)</f>
        <v>0</v>
      </c>
      <c r="CO101" s="519">
        <f t="shared" si="457"/>
        <v>0</v>
      </c>
      <c r="CP101" s="519">
        <f t="shared" si="457"/>
        <v>0</v>
      </c>
      <c r="CQ101" s="519">
        <f t="shared" si="457"/>
        <v>0</v>
      </c>
      <c r="CR101" s="519">
        <f t="shared" si="457"/>
        <v>0</v>
      </c>
      <c r="CS101" s="519">
        <f t="shared" si="457"/>
        <v>0</v>
      </c>
      <c r="CT101" s="519">
        <f t="shared" si="457"/>
        <v>0</v>
      </c>
      <c r="CU101" s="519">
        <f t="shared" si="457"/>
        <v>0</v>
      </c>
      <c r="CV101" s="519">
        <f t="shared" si="457"/>
        <v>0</v>
      </c>
      <c r="CW101" s="519">
        <f t="shared" si="457"/>
        <v>0</v>
      </c>
      <c r="CX101" s="519">
        <f t="shared" si="457"/>
        <v>0</v>
      </c>
      <c r="CY101" s="519">
        <f t="shared" si="457"/>
        <v>0</v>
      </c>
      <c r="CZ101" s="519">
        <f t="shared" si="457"/>
        <v>0</v>
      </c>
      <c r="DA101" s="519">
        <f t="shared" si="457"/>
        <v>0</v>
      </c>
      <c r="DB101" s="519">
        <f t="shared" si="457"/>
        <v>0</v>
      </c>
      <c r="DC101" s="519">
        <f t="shared" si="457"/>
        <v>0</v>
      </c>
      <c r="DD101" s="519">
        <f t="shared" si="457"/>
        <v>0</v>
      </c>
    </row>
    <row r="102" spans="1:108" ht="13" hidden="1" customHeight="1">
      <c r="A102" s="542"/>
      <c r="B102" s="519" t="s">
        <v>561</v>
      </c>
      <c r="C102" s="519">
        <f>IF(C16="Orlov",0,(C32*C22/12*C14)+(C35+C36+C37)*C22*C24/12*C14)</f>
        <v>0</v>
      </c>
      <c r="D102" s="519">
        <f>IF(D16="Orlov",0,(D32*D22/12*D14)+(D35+D37)*D22*D24/12*D14)</f>
        <v>0</v>
      </c>
      <c r="E102" s="519">
        <f t="shared" ref="E102:BB102" si="458">IF(E16="Orlov",0,(E32*E22/12*E14)+(E35+E36+E37)*E22*E24/12*E14)</f>
        <v>0</v>
      </c>
      <c r="F102" s="519">
        <f t="shared" ref="F102" si="459">IF(F16="Orlov",0,(F32*F22/12*F14)+(F35+F36+F37)*F22*F24/12*F14)</f>
        <v>0</v>
      </c>
      <c r="G102" s="519">
        <f t="shared" si="458"/>
        <v>0</v>
      </c>
      <c r="H102" s="519">
        <f t="shared" si="458"/>
        <v>0</v>
      </c>
      <c r="I102" s="519">
        <f t="shared" ref="I102" si="460">IF(I16="Orlov",0,(I32*I22/12*I14)+(I35+I36+I37)*I22*I24/12*I14)</f>
        <v>0</v>
      </c>
      <c r="J102" s="519">
        <f t="shared" si="458"/>
        <v>0</v>
      </c>
      <c r="K102" s="519">
        <f t="shared" si="458"/>
        <v>0</v>
      </c>
      <c r="L102" s="519">
        <f t="shared" si="458"/>
        <v>0</v>
      </c>
      <c r="M102" s="519">
        <f t="shared" si="458"/>
        <v>0</v>
      </c>
      <c r="N102" s="519">
        <f t="shared" si="458"/>
        <v>0</v>
      </c>
      <c r="O102" s="519">
        <f t="shared" si="458"/>
        <v>0</v>
      </c>
      <c r="P102" s="519">
        <f t="shared" si="458"/>
        <v>0</v>
      </c>
      <c r="Q102" s="519">
        <f t="shared" si="458"/>
        <v>0</v>
      </c>
      <c r="R102" s="519">
        <f t="shared" si="458"/>
        <v>0</v>
      </c>
      <c r="S102" s="519">
        <f t="shared" si="458"/>
        <v>0</v>
      </c>
      <c r="T102" s="519">
        <f t="shared" si="458"/>
        <v>0</v>
      </c>
      <c r="U102" s="519">
        <f t="shared" si="458"/>
        <v>0</v>
      </c>
      <c r="V102" s="519">
        <f t="shared" si="458"/>
        <v>0</v>
      </c>
      <c r="W102" s="519">
        <f t="shared" si="458"/>
        <v>0</v>
      </c>
      <c r="X102" s="519">
        <f t="shared" si="458"/>
        <v>0</v>
      </c>
      <c r="Y102" s="519">
        <f t="shared" ref="Y102" si="461">IF(Y16="Orlov",0,(Y32*Y22/12*Y14)+(Y35+Y36+Y37)*Y22*Y24/12*Y14)</f>
        <v>0</v>
      </c>
      <c r="Z102" s="519">
        <f t="shared" si="458"/>
        <v>0</v>
      </c>
      <c r="AA102" s="519">
        <f t="shared" si="458"/>
        <v>0</v>
      </c>
      <c r="AB102" s="519">
        <f t="shared" si="458"/>
        <v>0</v>
      </c>
      <c r="AC102" s="519">
        <f t="shared" si="458"/>
        <v>0</v>
      </c>
      <c r="AD102" s="519">
        <f t="shared" si="458"/>
        <v>0</v>
      </c>
      <c r="AE102" s="519">
        <f t="shared" ref="AE102" si="462">IF(AE16="Orlov",0,(AE32*AE22/12*AE14)+(AE35+AE36+AE37)*AE22*AE24/12*AE14)</f>
        <v>0</v>
      </c>
      <c r="AF102" s="519">
        <f t="shared" si="458"/>
        <v>0</v>
      </c>
      <c r="AG102" s="519">
        <f t="shared" si="458"/>
        <v>0</v>
      </c>
      <c r="AH102" s="519">
        <f t="shared" si="458"/>
        <v>0</v>
      </c>
      <c r="AI102" s="519">
        <f t="shared" si="458"/>
        <v>0</v>
      </c>
      <c r="AJ102" s="519">
        <f t="shared" si="458"/>
        <v>0</v>
      </c>
      <c r="AK102" s="519">
        <f t="shared" ref="AK102:AN102" si="463">IF(AK16="Orlov",0,(AK32*AK22/12*AK14)+(AK35+AK36+AK37)*AK22*AK24/12*AK14)</f>
        <v>0</v>
      </c>
      <c r="AL102" s="519">
        <f t="shared" si="463"/>
        <v>0</v>
      </c>
      <c r="AM102" s="519">
        <f t="shared" si="463"/>
        <v>0</v>
      </c>
      <c r="AN102" s="519">
        <f t="shared" si="463"/>
        <v>0</v>
      </c>
      <c r="AO102" s="519">
        <f t="shared" ref="AO102:AY102" si="464">IF(AO16="Orlov",0,(AO32*AO22/12*AO14)+(AO35+AO36+AO37)*AO22*AO24/12*AO14)</f>
        <v>0</v>
      </c>
      <c r="AP102" s="519">
        <f t="shared" si="464"/>
        <v>0</v>
      </c>
      <c r="AQ102" s="519">
        <f t="shared" si="464"/>
        <v>0</v>
      </c>
      <c r="AR102" s="519">
        <f t="shared" si="464"/>
        <v>0</v>
      </c>
      <c r="AS102" s="519">
        <f t="shared" si="464"/>
        <v>0</v>
      </c>
      <c r="AT102" s="519">
        <f t="shared" si="464"/>
        <v>0</v>
      </c>
      <c r="AU102" s="519">
        <f t="shared" si="464"/>
        <v>0</v>
      </c>
      <c r="AV102" s="519">
        <f t="shared" si="464"/>
        <v>0</v>
      </c>
      <c r="AW102" s="519">
        <f t="shared" si="464"/>
        <v>0</v>
      </c>
      <c r="AX102" s="519">
        <f t="shared" si="464"/>
        <v>0</v>
      </c>
      <c r="AY102" s="519">
        <f t="shared" si="464"/>
        <v>0</v>
      </c>
      <c r="AZ102" s="519">
        <f t="shared" si="458"/>
        <v>0</v>
      </c>
      <c r="BA102" s="519">
        <f t="shared" si="458"/>
        <v>0</v>
      </c>
      <c r="BB102" s="519">
        <f t="shared" si="458"/>
        <v>0</v>
      </c>
      <c r="BC102" s="519">
        <f t="shared" ref="BC102" si="465">IF(BC16="Orlov",0,(BC32*BC22/12*BC14)+(BC35+BC36+BC37)*BC22*BC24/12*BC14)</f>
        <v>0</v>
      </c>
      <c r="BD102" s="519">
        <f t="shared" ref="BD102:CM102" si="466">IF(BD16="Orlov",0,(BD32*BD22/12*BD14)+(BD35+BD36+BD37)*BD22*BD24/12*BD14)</f>
        <v>0</v>
      </c>
      <c r="BE102" s="519">
        <f t="shared" si="466"/>
        <v>0</v>
      </c>
      <c r="BF102" s="519">
        <f t="shared" si="466"/>
        <v>0</v>
      </c>
      <c r="BG102" s="519">
        <f t="shared" si="466"/>
        <v>0</v>
      </c>
      <c r="BH102" s="519">
        <f t="shared" si="466"/>
        <v>0</v>
      </c>
      <c r="BI102" s="519">
        <f t="shared" si="466"/>
        <v>0</v>
      </c>
      <c r="BJ102" s="519">
        <f t="shared" si="466"/>
        <v>0</v>
      </c>
      <c r="BK102" s="519">
        <f t="shared" si="466"/>
        <v>0</v>
      </c>
      <c r="BL102" s="519">
        <f t="shared" si="466"/>
        <v>0</v>
      </c>
      <c r="BM102" s="519">
        <f t="shared" si="466"/>
        <v>0</v>
      </c>
      <c r="BN102" s="519">
        <f t="shared" si="466"/>
        <v>0</v>
      </c>
      <c r="BO102" s="519">
        <f t="shared" si="466"/>
        <v>0</v>
      </c>
      <c r="BP102" s="519">
        <f t="shared" si="466"/>
        <v>0</v>
      </c>
      <c r="BQ102" s="519">
        <f t="shared" si="466"/>
        <v>0</v>
      </c>
      <c r="BR102" s="519">
        <f t="shared" si="466"/>
        <v>0</v>
      </c>
      <c r="BS102" s="519">
        <f t="shared" si="466"/>
        <v>0</v>
      </c>
      <c r="BT102" s="519">
        <f t="shared" si="466"/>
        <v>0</v>
      </c>
      <c r="BU102" s="519">
        <f t="shared" si="466"/>
        <v>0</v>
      </c>
      <c r="BV102" s="519">
        <f t="shared" si="466"/>
        <v>0</v>
      </c>
      <c r="BW102" s="519">
        <f t="shared" si="466"/>
        <v>0</v>
      </c>
      <c r="BX102" s="519">
        <f t="shared" si="466"/>
        <v>0</v>
      </c>
      <c r="BY102" s="519">
        <f t="shared" si="466"/>
        <v>0</v>
      </c>
      <c r="BZ102" s="519">
        <f t="shared" si="466"/>
        <v>0</v>
      </c>
      <c r="CA102" s="519">
        <f t="shared" si="466"/>
        <v>0</v>
      </c>
      <c r="CB102" s="519">
        <f t="shared" si="466"/>
        <v>0</v>
      </c>
      <c r="CC102" s="519">
        <f t="shared" si="466"/>
        <v>0</v>
      </c>
      <c r="CD102" s="519">
        <f t="shared" ref="CD102" si="467">IF(CD16="Orlov",0,(CD32*CD22/12*CD14)+(CD35+CD36+CD37)*CD22*CD24/12*CD14)</f>
        <v>0</v>
      </c>
      <c r="CE102" s="519">
        <f t="shared" si="466"/>
        <v>0</v>
      </c>
      <c r="CF102" s="519">
        <f t="shared" ref="CF102:CG102" si="468">IF(CF16="Orlov",0,(CF32*CF22/12*CF14)+(CF35+CF36+CF37)*CF22*CF24/12*CF14)</f>
        <v>0</v>
      </c>
      <c r="CG102" s="519">
        <f t="shared" si="468"/>
        <v>0</v>
      </c>
      <c r="CH102" s="519">
        <f t="shared" si="466"/>
        <v>0</v>
      </c>
      <c r="CI102" s="519">
        <f t="shared" si="466"/>
        <v>0</v>
      </c>
      <c r="CJ102" s="519">
        <f t="shared" si="466"/>
        <v>0</v>
      </c>
      <c r="CK102" s="519">
        <f t="shared" si="466"/>
        <v>0</v>
      </c>
      <c r="CL102" s="519">
        <f t="shared" si="466"/>
        <v>0</v>
      </c>
      <c r="CM102" s="519">
        <f t="shared" si="466"/>
        <v>0</v>
      </c>
      <c r="CN102" s="519">
        <f t="shared" ref="CN102:DD102" si="469">IF(CN16="Orlov",0,(CN32*CN22/12*CN14)+(CN35+CN36+CN37)*CN22*CN24/12*CN14)</f>
        <v>0</v>
      </c>
      <c r="CO102" s="519">
        <f t="shared" si="469"/>
        <v>0</v>
      </c>
      <c r="CP102" s="519">
        <f t="shared" si="469"/>
        <v>0</v>
      </c>
      <c r="CQ102" s="519">
        <f t="shared" si="469"/>
        <v>0</v>
      </c>
      <c r="CR102" s="519">
        <f t="shared" si="469"/>
        <v>0</v>
      </c>
      <c r="CS102" s="519">
        <f t="shared" si="469"/>
        <v>0</v>
      </c>
      <c r="CT102" s="519">
        <f t="shared" si="469"/>
        <v>0</v>
      </c>
      <c r="CU102" s="519">
        <f t="shared" si="469"/>
        <v>0</v>
      </c>
      <c r="CV102" s="519">
        <f t="shared" si="469"/>
        <v>0</v>
      </c>
      <c r="CW102" s="519">
        <f t="shared" si="469"/>
        <v>0</v>
      </c>
      <c r="CX102" s="519">
        <f t="shared" si="469"/>
        <v>0</v>
      </c>
      <c r="CY102" s="519">
        <f t="shared" si="469"/>
        <v>0</v>
      </c>
      <c r="CZ102" s="519">
        <f t="shared" si="469"/>
        <v>0</v>
      </c>
      <c r="DA102" s="519">
        <f t="shared" si="469"/>
        <v>0</v>
      </c>
      <c r="DB102" s="519">
        <f t="shared" si="469"/>
        <v>0</v>
      </c>
      <c r="DC102" s="519">
        <f t="shared" si="469"/>
        <v>0</v>
      </c>
      <c r="DD102" s="519">
        <f t="shared" si="469"/>
        <v>0</v>
      </c>
    </row>
    <row r="103" spans="1:108" ht="13" hidden="1" customHeight="1">
      <c r="A103" s="542"/>
      <c r="B103" s="519" t="s">
        <v>624</v>
      </c>
      <c r="C103" s="519">
        <f t="shared" ref="C103:AZ103" si="470">IF(C16="Orlov",0,C33*C22/12*C14)</f>
        <v>0</v>
      </c>
      <c r="D103" s="519">
        <f t="shared" si="470"/>
        <v>0</v>
      </c>
      <c r="E103" s="519">
        <f t="shared" si="470"/>
        <v>0</v>
      </c>
      <c r="F103" s="519">
        <f t="shared" ref="F103" si="471">IF(F16="Orlov",0,F33*F22/12*F14)</f>
        <v>0</v>
      </c>
      <c r="G103" s="519">
        <f t="shared" si="470"/>
        <v>0</v>
      </c>
      <c r="H103" s="519">
        <f t="shared" si="470"/>
        <v>0</v>
      </c>
      <c r="I103" s="519">
        <f t="shared" ref="I103" si="472">IF(I16="Orlov",0,I33*I22/12*I14)</f>
        <v>0</v>
      </c>
      <c r="J103" s="519">
        <f t="shared" si="470"/>
        <v>0</v>
      </c>
      <c r="K103" s="519">
        <f t="shared" si="470"/>
        <v>0</v>
      </c>
      <c r="L103" s="519">
        <f t="shared" si="470"/>
        <v>0</v>
      </c>
      <c r="M103" s="519">
        <f t="shared" si="470"/>
        <v>0</v>
      </c>
      <c r="N103" s="519">
        <f t="shared" si="470"/>
        <v>0</v>
      </c>
      <c r="O103" s="519">
        <f t="shared" si="470"/>
        <v>0</v>
      </c>
      <c r="P103" s="519">
        <f t="shared" si="470"/>
        <v>0</v>
      </c>
      <c r="Q103" s="519">
        <f t="shared" si="470"/>
        <v>0</v>
      </c>
      <c r="R103" s="519">
        <f t="shared" si="470"/>
        <v>0</v>
      </c>
      <c r="S103" s="519">
        <f t="shared" si="470"/>
        <v>0</v>
      </c>
      <c r="T103" s="519">
        <f t="shared" si="470"/>
        <v>0</v>
      </c>
      <c r="U103" s="519">
        <f t="shared" si="470"/>
        <v>0</v>
      </c>
      <c r="V103" s="519">
        <f t="shared" si="470"/>
        <v>0</v>
      </c>
      <c r="W103" s="519">
        <f t="shared" si="470"/>
        <v>0</v>
      </c>
      <c r="X103" s="519">
        <f t="shared" si="470"/>
        <v>0</v>
      </c>
      <c r="Y103" s="519">
        <f t="shared" ref="Y103" si="473">IF(Y16="Orlov",0,Y33*Y22/12*Y14)</f>
        <v>0</v>
      </c>
      <c r="Z103" s="519">
        <f t="shared" si="470"/>
        <v>0</v>
      </c>
      <c r="AA103" s="519">
        <f t="shared" si="470"/>
        <v>0</v>
      </c>
      <c r="AB103" s="519">
        <f t="shared" si="470"/>
        <v>0</v>
      </c>
      <c r="AC103" s="519">
        <f t="shared" si="470"/>
        <v>0</v>
      </c>
      <c r="AD103" s="519">
        <f t="shared" si="470"/>
        <v>0</v>
      </c>
      <c r="AE103" s="519">
        <f t="shared" ref="AE103" si="474">IF(AE16="Orlov",0,AE33*AE22/12*AE14)</f>
        <v>0</v>
      </c>
      <c r="AF103" s="519">
        <f t="shared" si="470"/>
        <v>0</v>
      </c>
      <c r="AG103" s="519">
        <f t="shared" si="470"/>
        <v>0</v>
      </c>
      <c r="AH103" s="519">
        <f t="shared" si="470"/>
        <v>0</v>
      </c>
      <c r="AI103" s="519">
        <f t="shared" si="470"/>
        <v>0</v>
      </c>
      <c r="AJ103" s="519">
        <f t="shared" si="470"/>
        <v>0</v>
      </c>
      <c r="AK103" s="519">
        <f t="shared" ref="AK103:AN103" si="475">IF(AK16="Orlov",0,AK33*AK22/12*AK14)</f>
        <v>0</v>
      </c>
      <c r="AL103" s="519">
        <f t="shared" si="475"/>
        <v>0</v>
      </c>
      <c r="AM103" s="519">
        <f t="shared" si="475"/>
        <v>0</v>
      </c>
      <c r="AN103" s="519">
        <f t="shared" si="475"/>
        <v>0</v>
      </c>
      <c r="AO103" s="519">
        <f t="shared" ref="AO103:AY103" si="476">IF(AO16="Orlov",0,AO33*AO22/12*AO14)</f>
        <v>0</v>
      </c>
      <c r="AP103" s="519">
        <f t="shared" si="476"/>
        <v>0</v>
      </c>
      <c r="AQ103" s="519">
        <f t="shared" si="476"/>
        <v>0</v>
      </c>
      <c r="AR103" s="519">
        <f t="shared" si="476"/>
        <v>0</v>
      </c>
      <c r="AS103" s="519">
        <f t="shared" si="476"/>
        <v>0</v>
      </c>
      <c r="AT103" s="519">
        <f t="shared" si="476"/>
        <v>0</v>
      </c>
      <c r="AU103" s="519">
        <f t="shared" si="476"/>
        <v>0</v>
      </c>
      <c r="AV103" s="519">
        <f t="shared" si="476"/>
        <v>0</v>
      </c>
      <c r="AW103" s="519">
        <f t="shared" si="476"/>
        <v>0</v>
      </c>
      <c r="AX103" s="519">
        <f t="shared" si="476"/>
        <v>0</v>
      </c>
      <c r="AY103" s="519">
        <f t="shared" si="476"/>
        <v>0</v>
      </c>
      <c r="AZ103" s="519">
        <f t="shared" si="470"/>
        <v>0</v>
      </c>
      <c r="BA103" s="519">
        <f t="shared" ref="BA103:CK103" si="477">IF(BA16="Orlov",0,BA33*BA22/12*BA14)</f>
        <v>0</v>
      </c>
      <c r="BB103" s="519">
        <f t="shared" si="477"/>
        <v>0</v>
      </c>
      <c r="BC103" s="519">
        <f t="shared" ref="BC103" si="478">IF(BC16="Orlov",0,BC33*BC22/12*BC14)</f>
        <v>0</v>
      </c>
      <c r="BD103" s="519">
        <f t="shared" si="477"/>
        <v>0</v>
      </c>
      <c r="BE103" s="519">
        <f t="shared" si="477"/>
        <v>0</v>
      </c>
      <c r="BF103" s="519">
        <f t="shared" si="477"/>
        <v>0</v>
      </c>
      <c r="BG103" s="519">
        <f t="shared" si="477"/>
        <v>0</v>
      </c>
      <c r="BH103" s="519">
        <f t="shared" si="477"/>
        <v>0</v>
      </c>
      <c r="BI103" s="519">
        <f t="shared" si="477"/>
        <v>0</v>
      </c>
      <c r="BJ103" s="519">
        <f t="shared" si="477"/>
        <v>0</v>
      </c>
      <c r="BK103" s="519">
        <f t="shared" si="477"/>
        <v>0</v>
      </c>
      <c r="BL103" s="519">
        <f t="shared" si="477"/>
        <v>0</v>
      </c>
      <c r="BM103" s="519">
        <f t="shared" si="477"/>
        <v>0</v>
      </c>
      <c r="BN103" s="519">
        <f t="shared" si="477"/>
        <v>0</v>
      </c>
      <c r="BO103" s="519">
        <f t="shared" si="477"/>
        <v>0</v>
      </c>
      <c r="BP103" s="519">
        <f t="shared" si="477"/>
        <v>0</v>
      </c>
      <c r="BQ103" s="519">
        <f t="shared" si="477"/>
        <v>0</v>
      </c>
      <c r="BR103" s="519">
        <f t="shared" si="477"/>
        <v>0</v>
      </c>
      <c r="BS103" s="519">
        <f t="shared" si="477"/>
        <v>0</v>
      </c>
      <c r="BT103" s="519">
        <f t="shared" si="477"/>
        <v>0</v>
      </c>
      <c r="BU103" s="519">
        <f t="shared" si="477"/>
        <v>0</v>
      </c>
      <c r="BV103" s="519">
        <f t="shared" si="477"/>
        <v>0</v>
      </c>
      <c r="BW103" s="519">
        <f t="shared" si="477"/>
        <v>0</v>
      </c>
      <c r="BX103" s="519">
        <f t="shared" si="477"/>
        <v>0</v>
      </c>
      <c r="BY103" s="519">
        <f t="shared" si="477"/>
        <v>0</v>
      </c>
      <c r="BZ103" s="519">
        <f t="shared" si="477"/>
        <v>0</v>
      </c>
      <c r="CA103" s="519">
        <f t="shared" si="477"/>
        <v>0</v>
      </c>
      <c r="CB103" s="519">
        <f t="shared" si="477"/>
        <v>0</v>
      </c>
      <c r="CC103" s="519">
        <f t="shared" si="477"/>
        <v>0</v>
      </c>
      <c r="CD103" s="519">
        <f t="shared" ref="CD103" si="479">IF(CD16="Orlov",0,CD33*CD22/12*CD14)</f>
        <v>0</v>
      </c>
      <c r="CE103" s="519">
        <f t="shared" si="477"/>
        <v>0</v>
      </c>
      <c r="CF103" s="519">
        <f t="shared" ref="CF103:CG103" si="480">IF(CF16="Orlov",0,CF33*CF22/12*CF14)</f>
        <v>0</v>
      </c>
      <c r="CG103" s="519">
        <f t="shared" si="480"/>
        <v>0</v>
      </c>
      <c r="CH103" s="519">
        <f t="shared" si="477"/>
        <v>0</v>
      </c>
      <c r="CI103" s="519">
        <f t="shared" si="477"/>
        <v>0</v>
      </c>
      <c r="CJ103" s="519">
        <f t="shared" si="477"/>
        <v>0</v>
      </c>
      <c r="CK103" s="519">
        <f t="shared" si="477"/>
        <v>0</v>
      </c>
      <c r="CL103" s="519">
        <f t="shared" ref="CL103:DD103" si="481">IF(CL16="Orlov",0,CL33*CL22/12*CL14)</f>
        <v>0</v>
      </c>
      <c r="CM103" s="519">
        <f t="shared" si="481"/>
        <v>0</v>
      </c>
      <c r="CN103" s="519">
        <f t="shared" si="481"/>
        <v>0</v>
      </c>
      <c r="CO103" s="519">
        <f t="shared" si="481"/>
        <v>0</v>
      </c>
      <c r="CP103" s="519">
        <f t="shared" si="481"/>
        <v>0</v>
      </c>
      <c r="CQ103" s="519">
        <f t="shared" si="481"/>
        <v>0</v>
      </c>
      <c r="CR103" s="519">
        <f t="shared" si="481"/>
        <v>0</v>
      </c>
      <c r="CS103" s="519">
        <f t="shared" si="481"/>
        <v>0</v>
      </c>
      <c r="CT103" s="519">
        <f t="shared" si="481"/>
        <v>0</v>
      </c>
      <c r="CU103" s="519">
        <f t="shared" si="481"/>
        <v>0</v>
      </c>
      <c r="CV103" s="519">
        <f t="shared" si="481"/>
        <v>0</v>
      </c>
      <c r="CW103" s="519">
        <f t="shared" si="481"/>
        <v>0</v>
      </c>
      <c r="CX103" s="519">
        <f t="shared" si="481"/>
        <v>0</v>
      </c>
      <c r="CY103" s="519">
        <f t="shared" si="481"/>
        <v>0</v>
      </c>
      <c r="CZ103" s="519">
        <f t="shared" si="481"/>
        <v>0</v>
      </c>
      <c r="DA103" s="519">
        <f t="shared" si="481"/>
        <v>0</v>
      </c>
      <c r="DB103" s="519">
        <f t="shared" si="481"/>
        <v>0</v>
      </c>
      <c r="DC103" s="519">
        <f t="shared" si="481"/>
        <v>0</v>
      </c>
      <c r="DD103" s="519">
        <f t="shared" si="481"/>
        <v>0</v>
      </c>
    </row>
    <row r="104" spans="1:108" ht="13" hidden="1" customHeight="1">
      <c r="A104" s="542"/>
      <c r="B104" s="519" t="s">
        <v>627</v>
      </c>
      <c r="C104" s="519">
        <f t="shared" ref="C104:AZ104" si="482">IF(C16="Orlov",0,(C39+C40)*C14)</f>
        <v>0</v>
      </c>
      <c r="D104" s="519">
        <f t="shared" si="482"/>
        <v>0</v>
      </c>
      <c r="E104" s="519">
        <f t="shared" si="482"/>
        <v>0</v>
      </c>
      <c r="F104" s="519">
        <f t="shared" ref="F104" si="483">IF(F16="Orlov",0,(F39+F40)*F14)</f>
        <v>0</v>
      </c>
      <c r="G104" s="519">
        <f t="shared" si="482"/>
        <v>0</v>
      </c>
      <c r="H104" s="519">
        <f t="shared" si="482"/>
        <v>0</v>
      </c>
      <c r="I104" s="519">
        <f t="shared" ref="I104" si="484">IF(I16="Orlov",0,(I39+I40)*I14)</f>
        <v>0</v>
      </c>
      <c r="J104" s="519">
        <f t="shared" si="482"/>
        <v>0</v>
      </c>
      <c r="K104" s="519">
        <f t="shared" si="482"/>
        <v>0</v>
      </c>
      <c r="L104" s="519">
        <f t="shared" si="482"/>
        <v>0</v>
      </c>
      <c r="M104" s="519">
        <f t="shared" si="482"/>
        <v>0</v>
      </c>
      <c r="N104" s="519">
        <f t="shared" si="482"/>
        <v>0</v>
      </c>
      <c r="O104" s="519">
        <f t="shared" si="482"/>
        <v>0</v>
      </c>
      <c r="P104" s="519">
        <f t="shared" si="482"/>
        <v>0</v>
      </c>
      <c r="Q104" s="519">
        <f t="shared" si="482"/>
        <v>0</v>
      </c>
      <c r="R104" s="519">
        <f t="shared" si="482"/>
        <v>0</v>
      </c>
      <c r="S104" s="519">
        <f t="shared" si="482"/>
        <v>0</v>
      </c>
      <c r="T104" s="519">
        <f t="shared" si="482"/>
        <v>0</v>
      </c>
      <c r="U104" s="519">
        <f t="shared" si="482"/>
        <v>0</v>
      </c>
      <c r="V104" s="519">
        <f t="shared" si="482"/>
        <v>0</v>
      </c>
      <c r="W104" s="519">
        <f t="shared" si="482"/>
        <v>0</v>
      </c>
      <c r="X104" s="519">
        <f t="shared" si="482"/>
        <v>0</v>
      </c>
      <c r="Y104" s="519">
        <f t="shared" ref="Y104" si="485">IF(Y16="Orlov",0,(Y39+Y40)*Y14)</f>
        <v>0</v>
      </c>
      <c r="Z104" s="519">
        <f t="shared" si="482"/>
        <v>0</v>
      </c>
      <c r="AA104" s="519">
        <f t="shared" si="482"/>
        <v>0</v>
      </c>
      <c r="AB104" s="519">
        <f t="shared" si="482"/>
        <v>0</v>
      </c>
      <c r="AC104" s="519">
        <f t="shared" si="482"/>
        <v>0</v>
      </c>
      <c r="AD104" s="519">
        <f t="shared" si="482"/>
        <v>0</v>
      </c>
      <c r="AE104" s="519">
        <f t="shared" ref="AE104" si="486">IF(AE16="Orlov",0,(AE39+AE40)*AE14)</f>
        <v>0</v>
      </c>
      <c r="AF104" s="519">
        <f t="shared" si="482"/>
        <v>0</v>
      </c>
      <c r="AG104" s="519">
        <f t="shared" si="482"/>
        <v>0</v>
      </c>
      <c r="AH104" s="519">
        <f t="shared" si="482"/>
        <v>0</v>
      </c>
      <c r="AI104" s="519">
        <f t="shared" si="482"/>
        <v>0</v>
      </c>
      <c r="AJ104" s="519">
        <f t="shared" si="482"/>
        <v>0</v>
      </c>
      <c r="AK104" s="519">
        <f t="shared" ref="AK104:AN104" si="487">IF(AK16="Orlov",0,(AK39+AK40)*AK14)</f>
        <v>0</v>
      </c>
      <c r="AL104" s="519">
        <f t="shared" si="487"/>
        <v>0</v>
      </c>
      <c r="AM104" s="519">
        <f t="shared" si="487"/>
        <v>0</v>
      </c>
      <c r="AN104" s="519">
        <f t="shared" si="487"/>
        <v>0</v>
      </c>
      <c r="AO104" s="519">
        <f t="shared" ref="AO104:AY104" si="488">IF(AO16="Orlov",0,(AO39+AO40)*AO14)</f>
        <v>0</v>
      </c>
      <c r="AP104" s="519">
        <f t="shared" si="488"/>
        <v>0</v>
      </c>
      <c r="AQ104" s="519">
        <f t="shared" si="488"/>
        <v>0</v>
      </c>
      <c r="AR104" s="519">
        <f t="shared" si="488"/>
        <v>0</v>
      </c>
      <c r="AS104" s="519">
        <f t="shared" si="488"/>
        <v>0</v>
      </c>
      <c r="AT104" s="519">
        <f t="shared" si="488"/>
        <v>0</v>
      </c>
      <c r="AU104" s="519">
        <f t="shared" si="488"/>
        <v>0</v>
      </c>
      <c r="AV104" s="519">
        <f t="shared" si="488"/>
        <v>0</v>
      </c>
      <c r="AW104" s="519">
        <f t="shared" si="488"/>
        <v>0</v>
      </c>
      <c r="AX104" s="519">
        <f t="shared" si="488"/>
        <v>0</v>
      </c>
      <c r="AY104" s="519">
        <f t="shared" si="488"/>
        <v>0</v>
      </c>
      <c r="AZ104" s="519">
        <f t="shared" si="482"/>
        <v>0</v>
      </c>
      <c r="BA104" s="519">
        <f t="shared" ref="BA104:CK104" si="489">IF(BA16="Orlov",0,(BA39+BA40)*BA14)</f>
        <v>0</v>
      </c>
      <c r="BB104" s="519">
        <f t="shared" si="489"/>
        <v>0</v>
      </c>
      <c r="BC104" s="519">
        <f t="shared" ref="BC104" si="490">IF(BC16="Orlov",0,(BC39+BC40)*BC14)</f>
        <v>0</v>
      </c>
      <c r="BD104" s="519">
        <f t="shared" si="489"/>
        <v>0</v>
      </c>
      <c r="BE104" s="519">
        <f t="shared" si="489"/>
        <v>0</v>
      </c>
      <c r="BF104" s="519">
        <f t="shared" si="489"/>
        <v>0</v>
      </c>
      <c r="BG104" s="519">
        <f t="shared" si="489"/>
        <v>0</v>
      </c>
      <c r="BH104" s="519">
        <f t="shared" si="489"/>
        <v>0</v>
      </c>
      <c r="BI104" s="519">
        <f t="shared" si="489"/>
        <v>0</v>
      </c>
      <c r="BJ104" s="519">
        <f t="shared" si="489"/>
        <v>0</v>
      </c>
      <c r="BK104" s="519">
        <f t="shared" si="489"/>
        <v>0</v>
      </c>
      <c r="BL104" s="519">
        <f t="shared" si="489"/>
        <v>0</v>
      </c>
      <c r="BM104" s="519">
        <f t="shared" si="489"/>
        <v>0</v>
      </c>
      <c r="BN104" s="519">
        <f t="shared" si="489"/>
        <v>0</v>
      </c>
      <c r="BO104" s="519">
        <f t="shared" si="489"/>
        <v>0</v>
      </c>
      <c r="BP104" s="519">
        <f t="shared" si="489"/>
        <v>0</v>
      </c>
      <c r="BQ104" s="519">
        <f t="shared" si="489"/>
        <v>0</v>
      </c>
      <c r="BR104" s="519">
        <f t="shared" si="489"/>
        <v>0</v>
      </c>
      <c r="BS104" s="519">
        <f t="shared" si="489"/>
        <v>0</v>
      </c>
      <c r="BT104" s="519">
        <f t="shared" si="489"/>
        <v>0</v>
      </c>
      <c r="BU104" s="519">
        <f t="shared" si="489"/>
        <v>0</v>
      </c>
      <c r="BV104" s="519">
        <f t="shared" si="489"/>
        <v>0</v>
      </c>
      <c r="BW104" s="519">
        <f t="shared" si="489"/>
        <v>0</v>
      </c>
      <c r="BX104" s="519">
        <f t="shared" si="489"/>
        <v>0</v>
      </c>
      <c r="BY104" s="519">
        <f t="shared" si="489"/>
        <v>0</v>
      </c>
      <c r="BZ104" s="519">
        <f t="shared" si="489"/>
        <v>0</v>
      </c>
      <c r="CA104" s="519">
        <f t="shared" si="489"/>
        <v>0</v>
      </c>
      <c r="CB104" s="519">
        <f t="shared" si="489"/>
        <v>0</v>
      </c>
      <c r="CC104" s="519">
        <f t="shared" si="489"/>
        <v>0</v>
      </c>
      <c r="CD104" s="519">
        <f t="shared" ref="CD104" si="491">IF(CD16="Orlov",0,(CD39+CD40)*CD14)</f>
        <v>0</v>
      </c>
      <c r="CE104" s="519">
        <f t="shared" si="489"/>
        <v>0</v>
      </c>
      <c r="CF104" s="519">
        <f t="shared" ref="CF104:CG104" si="492">IF(CF16="Orlov",0,(CF39+CF40)*CF14)</f>
        <v>0</v>
      </c>
      <c r="CG104" s="519">
        <f t="shared" si="492"/>
        <v>0</v>
      </c>
      <c r="CH104" s="519">
        <f t="shared" si="489"/>
        <v>0</v>
      </c>
      <c r="CI104" s="519">
        <f t="shared" si="489"/>
        <v>0</v>
      </c>
      <c r="CJ104" s="519">
        <f t="shared" si="489"/>
        <v>0</v>
      </c>
      <c r="CK104" s="519">
        <f t="shared" si="489"/>
        <v>0</v>
      </c>
      <c r="CL104" s="519">
        <f t="shared" ref="CL104:DD104" si="493">IF(CL16="Orlov",0,(CL39+CL40)*CL14)</f>
        <v>0</v>
      </c>
      <c r="CM104" s="519">
        <f t="shared" si="493"/>
        <v>0</v>
      </c>
      <c r="CN104" s="519">
        <f t="shared" si="493"/>
        <v>0</v>
      </c>
      <c r="CO104" s="519">
        <f t="shared" si="493"/>
        <v>0</v>
      </c>
      <c r="CP104" s="519">
        <f t="shared" si="493"/>
        <v>0</v>
      </c>
      <c r="CQ104" s="519">
        <f t="shared" si="493"/>
        <v>0</v>
      </c>
      <c r="CR104" s="519">
        <f t="shared" si="493"/>
        <v>0</v>
      </c>
      <c r="CS104" s="519">
        <f t="shared" si="493"/>
        <v>0</v>
      </c>
      <c r="CT104" s="519">
        <f t="shared" si="493"/>
        <v>0</v>
      </c>
      <c r="CU104" s="519">
        <f t="shared" si="493"/>
        <v>0</v>
      </c>
      <c r="CV104" s="519">
        <f t="shared" si="493"/>
        <v>0</v>
      </c>
      <c r="CW104" s="519">
        <f t="shared" si="493"/>
        <v>0</v>
      </c>
      <c r="CX104" s="519">
        <f t="shared" si="493"/>
        <v>0</v>
      </c>
      <c r="CY104" s="519">
        <f t="shared" si="493"/>
        <v>0</v>
      </c>
      <c r="CZ104" s="519">
        <f t="shared" si="493"/>
        <v>0</v>
      </c>
      <c r="DA104" s="519">
        <f t="shared" si="493"/>
        <v>0</v>
      </c>
      <c r="DB104" s="519">
        <f t="shared" si="493"/>
        <v>0</v>
      </c>
      <c r="DC104" s="519">
        <f t="shared" si="493"/>
        <v>0</v>
      </c>
      <c r="DD104" s="519">
        <f t="shared" si="493"/>
        <v>0</v>
      </c>
    </row>
    <row r="105" spans="1:108" ht="13" hidden="1" customHeight="1">
      <c r="A105" s="542"/>
      <c r="B105" s="519" t="s">
        <v>490</v>
      </c>
      <c r="C105" s="519">
        <f t="shared" ref="C105:AZ105" si="494">IF(C16="Orlov",0,C41*C14)</f>
        <v>0</v>
      </c>
      <c r="D105" s="519">
        <f t="shared" si="494"/>
        <v>0</v>
      </c>
      <c r="E105" s="519">
        <f t="shared" si="494"/>
        <v>0</v>
      </c>
      <c r="F105" s="519">
        <f t="shared" ref="F105" si="495">IF(F16="Orlov",0,F41*F14)</f>
        <v>0</v>
      </c>
      <c r="G105" s="519">
        <f t="shared" si="494"/>
        <v>0</v>
      </c>
      <c r="H105" s="519">
        <f t="shared" si="494"/>
        <v>0</v>
      </c>
      <c r="I105" s="519">
        <f t="shared" ref="I105" si="496">IF(I16="Orlov",0,I41*I14)</f>
        <v>0</v>
      </c>
      <c r="J105" s="519">
        <f t="shared" si="494"/>
        <v>0</v>
      </c>
      <c r="K105" s="519">
        <f t="shared" si="494"/>
        <v>0</v>
      </c>
      <c r="L105" s="519">
        <f t="shared" si="494"/>
        <v>0</v>
      </c>
      <c r="M105" s="519">
        <f t="shared" si="494"/>
        <v>0</v>
      </c>
      <c r="N105" s="519">
        <f t="shared" si="494"/>
        <v>0</v>
      </c>
      <c r="O105" s="519">
        <f t="shared" si="494"/>
        <v>0</v>
      </c>
      <c r="P105" s="519">
        <f t="shared" si="494"/>
        <v>0</v>
      </c>
      <c r="Q105" s="519">
        <f t="shared" si="494"/>
        <v>0</v>
      </c>
      <c r="R105" s="519">
        <f t="shared" si="494"/>
        <v>0</v>
      </c>
      <c r="S105" s="519">
        <f t="shared" si="494"/>
        <v>0</v>
      </c>
      <c r="T105" s="519">
        <f t="shared" si="494"/>
        <v>0</v>
      </c>
      <c r="U105" s="519">
        <f t="shared" si="494"/>
        <v>0</v>
      </c>
      <c r="V105" s="519">
        <f t="shared" si="494"/>
        <v>0</v>
      </c>
      <c r="W105" s="519">
        <f t="shared" si="494"/>
        <v>0</v>
      </c>
      <c r="X105" s="519">
        <f t="shared" si="494"/>
        <v>0</v>
      </c>
      <c r="Y105" s="519">
        <f t="shared" ref="Y105" si="497">IF(Y16="Orlov",0,Y41*Y14)</f>
        <v>0</v>
      </c>
      <c r="Z105" s="519">
        <f t="shared" si="494"/>
        <v>0</v>
      </c>
      <c r="AA105" s="519">
        <f t="shared" si="494"/>
        <v>0</v>
      </c>
      <c r="AB105" s="519">
        <f t="shared" si="494"/>
        <v>0</v>
      </c>
      <c r="AC105" s="519">
        <f t="shared" si="494"/>
        <v>0</v>
      </c>
      <c r="AD105" s="519">
        <f t="shared" si="494"/>
        <v>0</v>
      </c>
      <c r="AE105" s="519">
        <f t="shared" ref="AE105" si="498">IF(AE16="Orlov",0,AE41*AE14)</f>
        <v>0</v>
      </c>
      <c r="AF105" s="519">
        <f t="shared" si="494"/>
        <v>0</v>
      </c>
      <c r="AG105" s="519">
        <f t="shared" si="494"/>
        <v>0</v>
      </c>
      <c r="AH105" s="519">
        <f t="shared" si="494"/>
        <v>0</v>
      </c>
      <c r="AI105" s="519">
        <f t="shared" si="494"/>
        <v>0</v>
      </c>
      <c r="AJ105" s="519">
        <f t="shared" si="494"/>
        <v>0</v>
      </c>
      <c r="AK105" s="519">
        <f t="shared" ref="AK105:AN105" si="499">IF(AK16="Orlov",0,AK41*AK14)</f>
        <v>0</v>
      </c>
      <c r="AL105" s="519">
        <f t="shared" si="499"/>
        <v>0</v>
      </c>
      <c r="AM105" s="519">
        <f t="shared" si="499"/>
        <v>0</v>
      </c>
      <c r="AN105" s="519">
        <f t="shared" si="499"/>
        <v>0</v>
      </c>
      <c r="AO105" s="519">
        <f t="shared" ref="AO105:AY105" si="500">IF(AO16="Orlov",0,AO41*AO14)</f>
        <v>0</v>
      </c>
      <c r="AP105" s="519">
        <f t="shared" si="500"/>
        <v>0</v>
      </c>
      <c r="AQ105" s="519">
        <f t="shared" si="500"/>
        <v>0</v>
      </c>
      <c r="AR105" s="519">
        <f t="shared" si="500"/>
        <v>0</v>
      </c>
      <c r="AS105" s="519">
        <f t="shared" si="500"/>
        <v>0</v>
      </c>
      <c r="AT105" s="519">
        <f t="shared" si="500"/>
        <v>0</v>
      </c>
      <c r="AU105" s="519">
        <f t="shared" si="500"/>
        <v>0</v>
      </c>
      <c r="AV105" s="519">
        <f t="shared" si="500"/>
        <v>0</v>
      </c>
      <c r="AW105" s="519">
        <f t="shared" si="500"/>
        <v>0</v>
      </c>
      <c r="AX105" s="519">
        <f t="shared" si="500"/>
        <v>0</v>
      </c>
      <c r="AY105" s="519">
        <f t="shared" si="500"/>
        <v>0</v>
      </c>
      <c r="AZ105" s="519">
        <f t="shared" si="494"/>
        <v>0</v>
      </c>
      <c r="BA105" s="519">
        <f t="shared" ref="BA105:CK105" si="501">IF(BA16="Orlov",0,BA41*BA14)</f>
        <v>0</v>
      </c>
      <c r="BB105" s="519">
        <f t="shared" si="501"/>
        <v>0</v>
      </c>
      <c r="BC105" s="519">
        <f t="shared" ref="BC105" si="502">IF(BC16="Orlov",0,BC41*BC14)</f>
        <v>0</v>
      </c>
      <c r="BD105" s="519">
        <f t="shared" si="501"/>
        <v>0</v>
      </c>
      <c r="BE105" s="519">
        <f t="shared" si="501"/>
        <v>0</v>
      </c>
      <c r="BF105" s="519">
        <f t="shared" si="501"/>
        <v>0</v>
      </c>
      <c r="BG105" s="519">
        <f t="shared" si="501"/>
        <v>0</v>
      </c>
      <c r="BH105" s="519">
        <f t="shared" si="501"/>
        <v>0</v>
      </c>
      <c r="BI105" s="519">
        <f t="shared" si="501"/>
        <v>0</v>
      </c>
      <c r="BJ105" s="519">
        <f t="shared" si="501"/>
        <v>0</v>
      </c>
      <c r="BK105" s="519">
        <f t="shared" si="501"/>
        <v>0</v>
      </c>
      <c r="BL105" s="519">
        <f t="shared" si="501"/>
        <v>0</v>
      </c>
      <c r="BM105" s="519">
        <f t="shared" si="501"/>
        <v>0</v>
      </c>
      <c r="BN105" s="519">
        <f t="shared" si="501"/>
        <v>0</v>
      </c>
      <c r="BO105" s="519">
        <f t="shared" si="501"/>
        <v>0</v>
      </c>
      <c r="BP105" s="519">
        <f t="shared" si="501"/>
        <v>0</v>
      </c>
      <c r="BQ105" s="519">
        <f t="shared" si="501"/>
        <v>0</v>
      </c>
      <c r="BR105" s="519">
        <f t="shared" si="501"/>
        <v>0</v>
      </c>
      <c r="BS105" s="519">
        <f t="shared" si="501"/>
        <v>0</v>
      </c>
      <c r="BT105" s="519">
        <f t="shared" si="501"/>
        <v>0</v>
      </c>
      <c r="BU105" s="519">
        <f t="shared" si="501"/>
        <v>0</v>
      </c>
      <c r="BV105" s="519">
        <f t="shared" si="501"/>
        <v>0</v>
      </c>
      <c r="BW105" s="519">
        <f t="shared" si="501"/>
        <v>0</v>
      </c>
      <c r="BX105" s="519">
        <f t="shared" si="501"/>
        <v>0</v>
      </c>
      <c r="BY105" s="519">
        <f t="shared" si="501"/>
        <v>0</v>
      </c>
      <c r="BZ105" s="519">
        <f t="shared" si="501"/>
        <v>0</v>
      </c>
      <c r="CA105" s="519">
        <f t="shared" si="501"/>
        <v>0</v>
      </c>
      <c r="CB105" s="519">
        <f t="shared" si="501"/>
        <v>0</v>
      </c>
      <c r="CC105" s="519">
        <f t="shared" si="501"/>
        <v>0</v>
      </c>
      <c r="CD105" s="519">
        <f t="shared" ref="CD105" si="503">IF(CD16="Orlov",0,CD41*CD14)</f>
        <v>0</v>
      </c>
      <c r="CE105" s="519">
        <f t="shared" si="501"/>
        <v>0</v>
      </c>
      <c r="CF105" s="519">
        <f t="shared" ref="CF105:CG105" si="504">IF(CF16="Orlov",0,CF41*CF14)</f>
        <v>0</v>
      </c>
      <c r="CG105" s="519">
        <f t="shared" si="504"/>
        <v>0</v>
      </c>
      <c r="CH105" s="519">
        <f t="shared" si="501"/>
        <v>0</v>
      </c>
      <c r="CI105" s="519">
        <f t="shared" si="501"/>
        <v>0</v>
      </c>
      <c r="CJ105" s="519">
        <f t="shared" si="501"/>
        <v>0</v>
      </c>
      <c r="CK105" s="519">
        <f t="shared" si="501"/>
        <v>0</v>
      </c>
      <c r="CL105" s="519">
        <f t="shared" ref="CL105:DD105" si="505">IF(CL16="Orlov",0,CL41*CL14)</f>
        <v>0</v>
      </c>
      <c r="CM105" s="519">
        <f t="shared" si="505"/>
        <v>0</v>
      </c>
      <c r="CN105" s="519">
        <f t="shared" si="505"/>
        <v>0</v>
      </c>
      <c r="CO105" s="519">
        <f t="shared" si="505"/>
        <v>0</v>
      </c>
      <c r="CP105" s="519">
        <f t="shared" si="505"/>
        <v>0</v>
      </c>
      <c r="CQ105" s="519">
        <f t="shared" si="505"/>
        <v>0</v>
      </c>
      <c r="CR105" s="519">
        <f t="shared" si="505"/>
        <v>0</v>
      </c>
      <c r="CS105" s="519">
        <f t="shared" si="505"/>
        <v>0</v>
      </c>
      <c r="CT105" s="519">
        <f t="shared" si="505"/>
        <v>0</v>
      </c>
      <c r="CU105" s="519">
        <f t="shared" si="505"/>
        <v>0</v>
      </c>
      <c r="CV105" s="519">
        <f t="shared" si="505"/>
        <v>0</v>
      </c>
      <c r="CW105" s="519">
        <f t="shared" si="505"/>
        <v>0</v>
      </c>
      <c r="CX105" s="519">
        <f t="shared" si="505"/>
        <v>0</v>
      </c>
      <c r="CY105" s="519">
        <f t="shared" si="505"/>
        <v>0</v>
      </c>
      <c r="CZ105" s="519">
        <f t="shared" si="505"/>
        <v>0</v>
      </c>
      <c r="DA105" s="519">
        <f t="shared" si="505"/>
        <v>0</v>
      </c>
      <c r="DB105" s="519">
        <f t="shared" si="505"/>
        <v>0</v>
      </c>
      <c r="DC105" s="519">
        <f t="shared" si="505"/>
        <v>0</v>
      </c>
      <c r="DD105" s="519">
        <f t="shared" si="505"/>
        <v>0</v>
      </c>
    </row>
    <row r="106" spans="1:108" ht="13" hidden="1" customHeight="1">
      <c r="A106" s="542"/>
      <c r="B106" s="519" t="s">
        <v>497</v>
      </c>
      <c r="C106" s="519">
        <f t="shared" ref="C106:AZ106" si="506">IF(AND(C16="Nej",C18="Ja"),(C27+C38+C39+C40)*0.8%*C14,0)</f>
        <v>0</v>
      </c>
      <c r="D106" s="519">
        <f t="shared" si="506"/>
        <v>0</v>
      </c>
      <c r="E106" s="519">
        <f t="shared" si="506"/>
        <v>0</v>
      </c>
      <c r="F106" s="519">
        <f t="shared" ref="F106" si="507">IF(AND(F16="Nej",F18="Ja"),(F27+F38+F39+F40)*0.8%*F14,0)</f>
        <v>0</v>
      </c>
      <c r="G106" s="519">
        <f t="shared" si="506"/>
        <v>0</v>
      </c>
      <c r="H106" s="519">
        <f t="shared" si="506"/>
        <v>0</v>
      </c>
      <c r="I106" s="519">
        <f t="shared" ref="I106" si="508">IF(AND(I16="Nej",I18="Ja"),(I27+I38+I39+I40)*0.8%*I14,0)</f>
        <v>0</v>
      </c>
      <c r="J106" s="519">
        <f t="shared" si="506"/>
        <v>0</v>
      </c>
      <c r="K106" s="519">
        <f t="shared" si="506"/>
        <v>0</v>
      </c>
      <c r="L106" s="519">
        <f t="shared" si="506"/>
        <v>0</v>
      </c>
      <c r="M106" s="519">
        <f t="shared" si="506"/>
        <v>0</v>
      </c>
      <c r="N106" s="519">
        <f t="shared" si="506"/>
        <v>0</v>
      </c>
      <c r="O106" s="519">
        <f t="shared" si="506"/>
        <v>0</v>
      </c>
      <c r="P106" s="519">
        <f t="shared" si="506"/>
        <v>0</v>
      </c>
      <c r="Q106" s="519">
        <f t="shared" si="506"/>
        <v>0</v>
      </c>
      <c r="R106" s="519">
        <f t="shared" si="506"/>
        <v>0</v>
      </c>
      <c r="S106" s="519">
        <f t="shared" si="506"/>
        <v>0</v>
      </c>
      <c r="T106" s="519">
        <f t="shared" si="506"/>
        <v>0</v>
      </c>
      <c r="U106" s="519">
        <f t="shared" si="506"/>
        <v>0</v>
      </c>
      <c r="V106" s="519">
        <f t="shared" si="506"/>
        <v>0</v>
      </c>
      <c r="W106" s="519">
        <f t="shared" si="506"/>
        <v>0</v>
      </c>
      <c r="X106" s="519">
        <f t="shared" si="506"/>
        <v>0</v>
      </c>
      <c r="Y106" s="519">
        <f t="shared" ref="Y106" si="509">IF(AND(Y16="Nej",Y18="Ja"),(Y27+Y38+Y39+Y40)*0.8%*Y14,0)</f>
        <v>0</v>
      </c>
      <c r="Z106" s="519">
        <f t="shared" si="506"/>
        <v>0</v>
      </c>
      <c r="AA106" s="519">
        <f t="shared" si="506"/>
        <v>0</v>
      </c>
      <c r="AB106" s="519">
        <f t="shared" si="506"/>
        <v>0</v>
      </c>
      <c r="AC106" s="519">
        <f t="shared" si="506"/>
        <v>0</v>
      </c>
      <c r="AD106" s="519">
        <f t="shared" si="506"/>
        <v>0</v>
      </c>
      <c r="AE106" s="519">
        <f t="shared" ref="AE106" si="510">IF(AND(AE16="Nej",AE18="Ja"),(AE27+AE38+AE39+AE40)*0.8%*AE14,0)</f>
        <v>0</v>
      </c>
      <c r="AF106" s="519">
        <f t="shared" si="506"/>
        <v>0</v>
      </c>
      <c r="AG106" s="519">
        <f t="shared" si="506"/>
        <v>0</v>
      </c>
      <c r="AH106" s="519">
        <f t="shared" si="506"/>
        <v>0</v>
      </c>
      <c r="AI106" s="519">
        <f t="shared" si="506"/>
        <v>0</v>
      </c>
      <c r="AJ106" s="519">
        <f t="shared" si="506"/>
        <v>0</v>
      </c>
      <c r="AK106" s="519">
        <f t="shared" ref="AK106:AN106" si="511">IF(AND(AK16="Nej",AK18="Ja"),(AK27+AK38+AK39+AK40)*0.8%*AK14,0)</f>
        <v>0</v>
      </c>
      <c r="AL106" s="519">
        <f t="shared" si="511"/>
        <v>0</v>
      </c>
      <c r="AM106" s="519">
        <f t="shared" si="511"/>
        <v>0</v>
      </c>
      <c r="AN106" s="519">
        <f t="shared" si="511"/>
        <v>0</v>
      </c>
      <c r="AO106" s="519">
        <f t="shared" ref="AO106:AY106" si="512">IF(AND(AO16="Nej",AO18="Ja"),(AO27+AO38+AO39+AO40)*0.8%*AO14,0)</f>
        <v>0</v>
      </c>
      <c r="AP106" s="519">
        <f t="shared" si="512"/>
        <v>0</v>
      </c>
      <c r="AQ106" s="519">
        <f t="shared" si="512"/>
        <v>0</v>
      </c>
      <c r="AR106" s="519">
        <f t="shared" si="512"/>
        <v>0</v>
      </c>
      <c r="AS106" s="519">
        <f t="shared" si="512"/>
        <v>0</v>
      </c>
      <c r="AT106" s="519">
        <f t="shared" si="512"/>
        <v>0</v>
      </c>
      <c r="AU106" s="519">
        <f t="shared" si="512"/>
        <v>0</v>
      </c>
      <c r="AV106" s="519">
        <f t="shared" si="512"/>
        <v>0</v>
      </c>
      <c r="AW106" s="519">
        <f t="shared" si="512"/>
        <v>0</v>
      </c>
      <c r="AX106" s="519">
        <f t="shared" si="512"/>
        <v>0</v>
      </c>
      <c r="AY106" s="519">
        <f t="shared" si="512"/>
        <v>0</v>
      </c>
      <c r="AZ106" s="519">
        <f t="shared" si="506"/>
        <v>0</v>
      </c>
      <c r="BA106" s="519">
        <f t="shared" ref="BA106:CK106" si="513">IF(AND(BA16="Nej",BA18="Ja"),(BA27+BA38+BA39+BA40)*0.8%*BA14,0)</f>
        <v>0</v>
      </c>
      <c r="BB106" s="519">
        <f t="shared" si="513"/>
        <v>0</v>
      </c>
      <c r="BC106" s="519">
        <f t="shared" ref="BC106" si="514">IF(AND(BC16="Nej",BC18="Ja"),(BC27+BC38+BC39+BC40)*0.8%*BC14,0)</f>
        <v>0</v>
      </c>
      <c r="BD106" s="519">
        <f t="shared" si="513"/>
        <v>0</v>
      </c>
      <c r="BE106" s="519">
        <f t="shared" si="513"/>
        <v>0</v>
      </c>
      <c r="BF106" s="519">
        <f t="shared" si="513"/>
        <v>0</v>
      </c>
      <c r="BG106" s="519">
        <f t="shared" si="513"/>
        <v>0</v>
      </c>
      <c r="BH106" s="519">
        <f t="shared" si="513"/>
        <v>0</v>
      </c>
      <c r="BI106" s="519">
        <f t="shared" si="513"/>
        <v>0</v>
      </c>
      <c r="BJ106" s="519">
        <f t="shared" si="513"/>
        <v>0</v>
      </c>
      <c r="BK106" s="519">
        <f t="shared" si="513"/>
        <v>0</v>
      </c>
      <c r="BL106" s="519">
        <f t="shared" si="513"/>
        <v>0</v>
      </c>
      <c r="BM106" s="519">
        <f t="shared" si="513"/>
        <v>0</v>
      </c>
      <c r="BN106" s="519">
        <f t="shared" si="513"/>
        <v>0</v>
      </c>
      <c r="BO106" s="519">
        <f t="shared" si="513"/>
        <v>0</v>
      </c>
      <c r="BP106" s="519">
        <f t="shared" si="513"/>
        <v>0</v>
      </c>
      <c r="BQ106" s="519">
        <f t="shared" si="513"/>
        <v>0</v>
      </c>
      <c r="BR106" s="519">
        <f t="shared" si="513"/>
        <v>0</v>
      </c>
      <c r="BS106" s="519">
        <f t="shared" si="513"/>
        <v>0</v>
      </c>
      <c r="BT106" s="519">
        <f t="shared" si="513"/>
        <v>0</v>
      </c>
      <c r="BU106" s="519">
        <f t="shared" si="513"/>
        <v>0</v>
      </c>
      <c r="BV106" s="519">
        <f t="shared" si="513"/>
        <v>0</v>
      </c>
      <c r="BW106" s="519">
        <f t="shared" si="513"/>
        <v>0</v>
      </c>
      <c r="BX106" s="519">
        <f t="shared" si="513"/>
        <v>0</v>
      </c>
      <c r="BY106" s="519">
        <f t="shared" si="513"/>
        <v>0</v>
      </c>
      <c r="BZ106" s="519">
        <f t="shared" si="513"/>
        <v>0</v>
      </c>
      <c r="CA106" s="519">
        <f t="shared" si="513"/>
        <v>0</v>
      </c>
      <c r="CB106" s="519">
        <f t="shared" si="513"/>
        <v>0</v>
      </c>
      <c r="CC106" s="519">
        <f t="shared" si="513"/>
        <v>0</v>
      </c>
      <c r="CD106" s="519">
        <f t="shared" ref="CD106" si="515">IF(AND(CD16="Nej",CD18="Ja"),(CD27+CD38+CD39+CD40)*0.8%*CD14,0)</f>
        <v>0</v>
      </c>
      <c r="CE106" s="519">
        <f t="shared" si="513"/>
        <v>0</v>
      </c>
      <c r="CF106" s="519">
        <f t="shared" ref="CF106:CG106" si="516">IF(AND(CF16="Nej",CF18="Ja"),(CF27+CF38+CF39+CF40)*0.8%*CF14,0)</f>
        <v>0</v>
      </c>
      <c r="CG106" s="519">
        <f t="shared" si="516"/>
        <v>0</v>
      </c>
      <c r="CH106" s="519">
        <f t="shared" si="513"/>
        <v>0</v>
      </c>
      <c r="CI106" s="519">
        <f t="shared" si="513"/>
        <v>0</v>
      </c>
      <c r="CJ106" s="519">
        <f t="shared" si="513"/>
        <v>0</v>
      </c>
      <c r="CK106" s="519">
        <f t="shared" si="513"/>
        <v>0</v>
      </c>
      <c r="CL106" s="519">
        <f t="shared" ref="CL106:DD106" si="517">IF(AND(CL16="Nej",CL18="Ja"),(CL27+CL38+CL39+CL40)*0.8%*CL14,0)</f>
        <v>0</v>
      </c>
      <c r="CM106" s="519">
        <f t="shared" si="517"/>
        <v>0</v>
      </c>
      <c r="CN106" s="519">
        <f t="shared" si="517"/>
        <v>0</v>
      </c>
      <c r="CO106" s="519">
        <f t="shared" si="517"/>
        <v>0</v>
      </c>
      <c r="CP106" s="519">
        <f t="shared" si="517"/>
        <v>0</v>
      </c>
      <c r="CQ106" s="519">
        <f t="shared" si="517"/>
        <v>0</v>
      </c>
      <c r="CR106" s="519">
        <f t="shared" si="517"/>
        <v>0</v>
      </c>
      <c r="CS106" s="519">
        <f t="shared" si="517"/>
        <v>0</v>
      </c>
      <c r="CT106" s="519">
        <f t="shared" si="517"/>
        <v>0</v>
      </c>
      <c r="CU106" s="519">
        <f t="shared" si="517"/>
        <v>0</v>
      </c>
      <c r="CV106" s="519">
        <f t="shared" si="517"/>
        <v>0</v>
      </c>
      <c r="CW106" s="519">
        <f t="shared" si="517"/>
        <v>0</v>
      </c>
      <c r="CX106" s="519">
        <f t="shared" si="517"/>
        <v>0</v>
      </c>
      <c r="CY106" s="519">
        <f t="shared" si="517"/>
        <v>0</v>
      </c>
      <c r="CZ106" s="519">
        <f t="shared" si="517"/>
        <v>0</v>
      </c>
      <c r="DA106" s="519">
        <f t="shared" si="517"/>
        <v>0</v>
      </c>
      <c r="DB106" s="519">
        <f t="shared" si="517"/>
        <v>0</v>
      </c>
      <c r="DC106" s="519">
        <f t="shared" si="517"/>
        <v>0</v>
      </c>
      <c r="DD106" s="519">
        <f t="shared" si="517"/>
        <v>0</v>
      </c>
    </row>
    <row r="107" spans="1:108" ht="13" hidden="1" customHeight="1">
      <c r="A107" s="542"/>
      <c r="B107" s="519" t="s">
        <v>491</v>
      </c>
      <c r="C107" s="602">
        <f t="shared" ref="C107:AZ107" si="518">C46*C14-IF(C21="nej",(C43+C44)*C14)</f>
        <v>0</v>
      </c>
      <c r="D107" s="602">
        <f t="shared" si="518"/>
        <v>0</v>
      </c>
      <c r="E107" s="602">
        <f t="shared" si="518"/>
        <v>0</v>
      </c>
      <c r="F107" s="602">
        <f t="shared" ref="F107" si="519">F46*F14-IF(F21="nej",(F43+F44)*F14)</f>
        <v>0</v>
      </c>
      <c r="G107" s="602">
        <f t="shared" si="518"/>
        <v>0</v>
      </c>
      <c r="H107" s="602">
        <f t="shared" si="518"/>
        <v>0</v>
      </c>
      <c r="I107" s="602">
        <f t="shared" ref="I107" si="520">I46*I14-IF(I21="nej",(I43+I44)*I14)</f>
        <v>0</v>
      </c>
      <c r="J107" s="602">
        <f t="shared" si="518"/>
        <v>0</v>
      </c>
      <c r="K107" s="602">
        <f t="shared" si="518"/>
        <v>0</v>
      </c>
      <c r="L107" s="602">
        <f t="shared" si="518"/>
        <v>0</v>
      </c>
      <c r="M107" s="602">
        <f t="shared" si="518"/>
        <v>0</v>
      </c>
      <c r="N107" s="602">
        <f t="shared" si="518"/>
        <v>0</v>
      </c>
      <c r="O107" s="602">
        <f t="shared" si="518"/>
        <v>0</v>
      </c>
      <c r="P107" s="602">
        <f t="shared" si="518"/>
        <v>0</v>
      </c>
      <c r="Q107" s="602">
        <f t="shared" si="518"/>
        <v>0</v>
      </c>
      <c r="R107" s="602">
        <f t="shared" si="518"/>
        <v>0</v>
      </c>
      <c r="S107" s="602">
        <f t="shared" si="518"/>
        <v>0</v>
      </c>
      <c r="T107" s="602">
        <f t="shared" si="518"/>
        <v>0</v>
      </c>
      <c r="U107" s="602">
        <f t="shared" si="518"/>
        <v>0</v>
      </c>
      <c r="V107" s="602">
        <f t="shared" si="518"/>
        <v>0</v>
      </c>
      <c r="W107" s="602">
        <f t="shared" si="518"/>
        <v>0</v>
      </c>
      <c r="X107" s="602">
        <f t="shared" si="518"/>
        <v>0</v>
      </c>
      <c r="Y107" s="602">
        <f t="shared" ref="Y107" si="521">Y46*Y14-IF(Y21="nej",(Y43+Y44)*Y14)</f>
        <v>0</v>
      </c>
      <c r="Z107" s="602">
        <f t="shared" si="518"/>
        <v>0</v>
      </c>
      <c r="AA107" s="602">
        <f t="shared" si="518"/>
        <v>0</v>
      </c>
      <c r="AB107" s="602">
        <f t="shared" si="518"/>
        <v>0</v>
      </c>
      <c r="AC107" s="602">
        <f t="shared" si="518"/>
        <v>0</v>
      </c>
      <c r="AD107" s="602">
        <f t="shared" si="518"/>
        <v>0</v>
      </c>
      <c r="AE107" s="602">
        <f t="shared" ref="AE107" si="522">AE46*AE14-IF(AE21="nej",(AE43+AE44)*AE14)</f>
        <v>0</v>
      </c>
      <c r="AF107" s="602">
        <f t="shared" si="518"/>
        <v>0</v>
      </c>
      <c r="AG107" s="602">
        <f t="shared" si="518"/>
        <v>0</v>
      </c>
      <c r="AH107" s="602">
        <f t="shared" si="518"/>
        <v>0</v>
      </c>
      <c r="AI107" s="602">
        <f t="shared" si="518"/>
        <v>0</v>
      </c>
      <c r="AJ107" s="602">
        <f t="shared" si="518"/>
        <v>0</v>
      </c>
      <c r="AK107" s="602">
        <f t="shared" ref="AK107:AN107" si="523">AK46*AK14-IF(AK21="nej",(AK43+AK44)*AK14)</f>
        <v>0</v>
      </c>
      <c r="AL107" s="602">
        <f t="shared" si="523"/>
        <v>0</v>
      </c>
      <c r="AM107" s="602">
        <f t="shared" si="523"/>
        <v>0</v>
      </c>
      <c r="AN107" s="602">
        <f t="shared" si="523"/>
        <v>0</v>
      </c>
      <c r="AO107" s="602">
        <f t="shared" ref="AO107:AY107" si="524">AO46*AO14-IF(AO21="nej",(AO43+AO44)*AO14)</f>
        <v>0</v>
      </c>
      <c r="AP107" s="602">
        <f t="shared" si="524"/>
        <v>0</v>
      </c>
      <c r="AQ107" s="602">
        <f t="shared" si="524"/>
        <v>0</v>
      </c>
      <c r="AR107" s="602">
        <f t="shared" si="524"/>
        <v>0</v>
      </c>
      <c r="AS107" s="602">
        <f t="shared" si="524"/>
        <v>0</v>
      </c>
      <c r="AT107" s="602">
        <f t="shared" si="524"/>
        <v>0</v>
      </c>
      <c r="AU107" s="602">
        <f t="shared" si="524"/>
        <v>0</v>
      </c>
      <c r="AV107" s="602">
        <f t="shared" si="524"/>
        <v>0</v>
      </c>
      <c r="AW107" s="602">
        <f t="shared" si="524"/>
        <v>0</v>
      </c>
      <c r="AX107" s="602">
        <f t="shared" si="524"/>
        <v>0</v>
      </c>
      <c r="AY107" s="602">
        <f t="shared" si="524"/>
        <v>0</v>
      </c>
      <c r="AZ107" s="602">
        <f t="shared" si="518"/>
        <v>0</v>
      </c>
      <c r="BA107" s="602">
        <f t="shared" ref="BA107:CK107" si="525">BA46*BA14-IF(BA21="nej",(BA43+BA44)*BA14)</f>
        <v>0</v>
      </c>
      <c r="BB107" s="602">
        <f t="shared" si="525"/>
        <v>0</v>
      </c>
      <c r="BC107" s="602">
        <f t="shared" ref="BC107" si="526">BC46*BC14-IF(BC21="nej",(BC43+BC44)*BC14)</f>
        <v>0</v>
      </c>
      <c r="BD107" s="602">
        <f t="shared" si="525"/>
        <v>0</v>
      </c>
      <c r="BE107" s="602">
        <f t="shared" si="525"/>
        <v>0</v>
      </c>
      <c r="BF107" s="602">
        <f t="shared" si="525"/>
        <v>0</v>
      </c>
      <c r="BG107" s="602">
        <f t="shared" si="525"/>
        <v>0</v>
      </c>
      <c r="BH107" s="602">
        <f t="shared" si="525"/>
        <v>0</v>
      </c>
      <c r="BI107" s="602">
        <f t="shared" si="525"/>
        <v>0</v>
      </c>
      <c r="BJ107" s="602">
        <f t="shared" si="525"/>
        <v>0</v>
      </c>
      <c r="BK107" s="602">
        <f t="shared" si="525"/>
        <v>0</v>
      </c>
      <c r="BL107" s="602">
        <f t="shared" si="525"/>
        <v>0</v>
      </c>
      <c r="BM107" s="602">
        <f t="shared" si="525"/>
        <v>0</v>
      </c>
      <c r="BN107" s="602">
        <f t="shared" si="525"/>
        <v>0</v>
      </c>
      <c r="BO107" s="602">
        <f t="shared" si="525"/>
        <v>0</v>
      </c>
      <c r="BP107" s="602">
        <f t="shared" si="525"/>
        <v>0</v>
      </c>
      <c r="BQ107" s="602">
        <f t="shared" si="525"/>
        <v>0</v>
      </c>
      <c r="BR107" s="602">
        <f t="shared" si="525"/>
        <v>0</v>
      </c>
      <c r="BS107" s="602">
        <f t="shared" si="525"/>
        <v>0</v>
      </c>
      <c r="BT107" s="602">
        <f t="shared" si="525"/>
        <v>0</v>
      </c>
      <c r="BU107" s="602">
        <f t="shared" si="525"/>
        <v>0</v>
      </c>
      <c r="BV107" s="602">
        <f t="shared" si="525"/>
        <v>0</v>
      </c>
      <c r="BW107" s="602">
        <f t="shared" si="525"/>
        <v>0</v>
      </c>
      <c r="BX107" s="602">
        <f t="shared" si="525"/>
        <v>0</v>
      </c>
      <c r="BY107" s="602">
        <f t="shared" si="525"/>
        <v>0</v>
      </c>
      <c r="BZ107" s="602">
        <f t="shared" si="525"/>
        <v>0</v>
      </c>
      <c r="CA107" s="602">
        <f t="shared" si="525"/>
        <v>0</v>
      </c>
      <c r="CB107" s="602">
        <f t="shared" si="525"/>
        <v>0</v>
      </c>
      <c r="CC107" s="602">
        <f t="shared" si="525"/>
        <v>0</v>
      </c>
      <c r="CD107" s="602">
        <f t="shared" ref="CD107" si="527">CD46*CD14-IF(CD21="nej",(CD43+CD44)*CD14)</f>
        <v>0</v>
      </c>
      <c r="CE107" s="602">
        <f t="shared" si="525"/>
        <v>0</v>
      </c>
      <c r="CF107" s="602">
        <f t="shared" ref="CF107:CG107" si="528">CF46*CF14-IF(CF21="nej",(CF43+CF44)*CF14)</f>
        <v>0</v>
      </c>
      <c r="CG107" s="602">
        <f t="shared" si="528"/>
        <v>0</v>
      </c>
      <c r="CH107" s="602">
        <f t="shared" si="525"/>
        <v>0</v>
      </c>
      <c r="CI107" s="602">
        <f t="shared" si="525"/>
        <v>0</v>
      </c>
      <c r="CJ107" s="602">
        <f t="shared" si="525"/>
        <v>0</v>
      </c>
      <c r="CK107" s="602">
        <f t="shared" si="525"/>
        <v>0</v>
      </c>
      <c r="CL107" s="602">
        <f t="shared" ref="CL107:DD107" si="529">CL46*CL14-IF(CL21="nej",(CL43+CL44)*CL14)</f>
        <v>0</v>
      </c>
      <c r="CM107" s="602">
        <f t="shared" si="529"/>
        <v>0</v>
      </c>
      <c r="CN107" s="602">
        <f t="shared" si="529"/>
        <v>0</v>
      </c>
      <c r="CO107" s="602">
        <f t="shared" si="529"/>
        <v>0</v>
      </c>
      <c r="CP107" s="602">
        <f t="shared" si="529"/>
        <v>0</v>
      </c>
      <c r="CQ107" s="602">
        <f t="shared" si="529"/>
        <v>0</v>
      </c>
      <c r="CR107" s="602">
        <f t="shared" si="529"/>
        <v>0</v>
      </c>
      <c r="CS107" s="602">
        <f t="shared" si="529"/>
        <v>0</v>
      </c>
      <c r="CT107" s="602">
        <f t="shared" si="529"/>
        <v>0</v>
      </c>
      <c r="CU107" s="602">
        <f t="shared" si="529"/>
        <v>0</v>
      </c>
      <c r="CV107" s="602">
        <f t="shared" si="529"/>
        <v>0</v>
      </c>
      <c r="CW107" s="602">
        <f t="shared" si="529"/>
        <v>0</v>
      </c>
      <c r="CX107" s="602">
        <f t="shared" si="529"/>
        <v>0</v>
      </c>
      <c r="CY107" s="602">
        <f t="shared" si="529"/>
        <v>0</v>
      </c>
      <c r="CZ107" s="602">
        <f t="shared" si="529"/>
        <v>0</v>
      </c>
      <c r="DA107" s="602">
        <f t="shared" si="529"/>
        <v>0</v>
      </c>
      <c r="DB107" s="602">
        <f t="shared" si="529"/>
        <v>0</v>
      </c>
      <c r="DC107" s="602">
        <f t="shared" si="529"/>
        <v>0</v>
      </c>
      <c r="DD107" s="602">
        <f t="shared" si="529"/>
        <v>0</v>
      </c>
    </row>
    <row r="108" spans="1:108" ht="13" hidden="1" customHeight="1">
      <c r="A108" s="542"/>
      <c r="B108" s="519" t="s">
        <v>67</v>
      </c>
      <c r="C108" s="519">
        <f t="shared" ref="C108:AZ108" si="530">IF(C16="Orlov",0,C47/3*2*C14)</f>
        <v>0</v>
      </c>
      <c r="D108" s="519">
        <f t="shared" si="530"/>
        <v>0</v>
      </c>
      <c r="E108" s="519">
        <f t="shared" si="530"/>
        <v>0</v>
      </c>
      <c r="F108" s="519">
        <f t="shared" ref="F108" si="531">IF(F16="Orlov",0,F47/3*2*F14)</f>
        <v>0</v>
      </c>
      <c r="G108" s="519">
        <f t="shared" si="530"/>
        <v>0</v>
      </c>
      <c r="H108" s="519">
        <f t="shared" si="530"/>
        <v>0</v>
      </c>
      <c r="I108" s="519">
        <f t="shared" ref="I108" si="532">IF(I16="Orlov",0,I47/3*2*I14)</f>
        <v>0</v>
      </c>
      <c r="J108" s="519">
        <f t="shared" si="530"/>
        <v>0</v>
      </c>
      <c r="K108" s="519">
        <f t="shared" si="530"/>
        <v>0</v>
      </c>
      <c r="L108" s="519">
        <f t="shared" si="530"/>
        <v>0</v>
      </c>
      <c r="M108" s="519">
        <f t="shared" si="530"/>
        <v>0</v>
      </c>
      <c r="N108" s="519">
        <f t="shared" si="530"/>
        <v>0</v>
      </c>
      <c r="O108" s="519">
        <f t="shared" si="530"/>
        <v>0</v>
      </c>
      <c r="P108" s="519">
        <f t="shared" si="530"/>
        <v>0</v>
      </c>
      <c r="Q108" s="519">
        <f t="shared" si="530"/>
        <v>0</v>
      </c>
      <c r="R108" s="519">
        <f t="shared" si="530"/>
        <v>0</v>
      </c>
      <c r="S108" s="519">
        <f t="shared" si="530"/>
        <v>0</v>
      </c>
      <c r="T108" s="519">
        <f t="shared" si="530"/>
        <v>0</v>
      </c>
      <c r="U108" s="519">
        <f t="shared" si="530"/>
        <v>0</v>
      </c>
      <c r="V108" s="519">
        <f t="shared" si="530"/>
        <v>0</v>
      </c>
      <c r="W108" s="519">
        <f t="shared" si="530"/>
        <v>0</v>
      </c>
      <c r="X108" s="519">
        <f t="shared" si="530"/>
        <v>0</v>
      </c>
      <c r="Y108" s="519">
        <f t="shared" ref="Y108" si="533">IF(Y16="Orlov",0,Y47/3*2*Y14)</f>
        <v>0</v>
      </c>
      <c r="Z108" s="519">
        <f t="shared" si="530"/>
        <v>0</v>
      </c>
      <c r="AA108" s="519">
        <f t="shared" si="530"/>
        <v>0</v>
      </c>
      <c r="AB108" s="519">
        <f t="shared" si="530"/>
        <v>0</v>
      </c>
      <c r="AC108" s="519">
        <f t="shared" si="530"/>
        <v>0</v>
      </c>
      <c r="AD108" s="519">
        <f t="shared" si="530"/>
        <v>0</v>
      </c>
      <c r="AE108" s="519">
        <f t="shared" ref="AE108" si="534">IF(AE16="Orlov",0,AE47/3*2*AE14)</f>
        <v>0</v>
      </c>
      <c r="AF108" s="519">
        <f t="shared" si="530"/>
        <v>0</v>
      </c>
      <c r="AG108" s="519">
        <f t="shared" si="530"/>
        <v>0</v>
      </c>
      <c r="AH108" s="519">
        <f t="shared" si="530"/>
        <v>0</v>
      </c>
      <c r="AI108" s="519">
        <f t="shared" si="530"/>
        <v>0</v>
      </c>
      <c r="AJ108" s="519">
        <f t="shared" si="530"/>
        <v>0</v>
      </c>
      <c r="AK108" s="519">
        <f t="shared" ref="AK108:AN108" si="535">IF(AK16="Orlov",0,AK47/3*2*AK14)</f>
        <v>0</v>
      </c>
      <c r="AL108" s="519">
        <f t="shared" si="535"/>
        <v>0</v>
      </c>
      <c r="AM108" s="519">
        <f t="shared" si="535"/>
        <v>0</v>
      </c>
      <c r="AN108" s="519">
        <f t="shared" si="535"/>
        <v>0</v>
      </c>
      <c r="AO108" s="519">
        <f t="shared" ref="AO108:AY108" si="536">IF(AO16="Orlov",0,AO47/3*2*AO14)</f>
        <v>0</v>
      </c>
      <c r="AP108" s="519">
        <f t="shared" si="536"/>
        <v>0</v>
      </c>
      <c r="AQ108" s="519">
        <f t="shared" si="536"/>
        <v>0</v>
      </c>
      <c r="AR108" s="519">
        <f t="shared" si="536"/>
        <v>0</v>
      </c>
      <c r="AS108" s="519">
        <f t="shared" si="536"/>
        <v>0</v>
      </c>
      <c r="AT108" s="519">
        <f t="shared" si="536"/>
        <v>0</v>
      </c>
      <c r="AU108" s="519">
        <f t="shared" si="536"/>
        <v>0</v>
      </c>
      <c r="AV108" s="519">
        <f t="shared" si="536"/>
        <v>0</v>
      </c>
      <c r="AW108" s="519">
        <f t="shared" si="536"/>
        <v>0</v>
      </c>
      <c r="AX108" s="519">
        <f t="shared" si="536"/>
        <v>0</v>
      </c>
      <c r="AY108" s="519">
        <f t="shared" si="536"/>
        <v>0</v>
      </c>
      <c r="AZ108" s="519">
        <f t="shared" si="530"/>
        <v>0</v>
      </c>
      <c r="BA108" s="519">
        <f t="shared" ref="BA108:CK108" si="537">IF(BA16="Orlov",0,BA47/3*2*BA14)</f>
        <v>0</v>
      </c>
      <c r="BB108" s="519">
        <f t="shared" si="537"/>
        <v>0</v>
      </c>
      <c r="BC108" s="519">
        <f t="shared" ref="BC108" si="538">IF(BC16="Orlov",0,BC47/3*2*BC14)</f>
        <v>0</v>
      </c>
      <c r="BD108" s="519">
        <f t="shared" si="537"/>
        <v>0</v>
      </c>
      <c r="BE108" s="519">
        <f t="shared" si="537"/>
        <v>0</v>
      </c>
      <c r="BF108" s="519">
        <f t="shared" si="537"/>
        <v>0</v>
      </c>
      <c r="BG108" s="519">
        <f t="shared" si="537"/>
        <v>0</v>
      </c>
      <c r="BH108" s="519">
        <f t="shared" si="537"/>
        <v>0</v>
      </c>
      <c r="BI108" s="519">
        <f t="shared" si="537"/>
        <v>0</v>
      </c>
      <c r="BJ108" s="519">
        <f t="shared" si="537"/>
        <v>0</v>
      </c>
      <c r="BK108" s="519">
        <f t="shared" si="537"/>
        <v>0</v>
      </c>
      <c r="BL108" s="519">
        <f t="shared" si="537"/>
        <v>0</v>
      </c>
      <c r="BM108" s="519">
        <f t="shared" si="537"/>
        <v>0</v>
      </c>
      <c r="BN108" s="519">
        <f t="shared" si="537"/>
        <v>0</v>
      </c>
      <c r="BO108" s="519">
        <f t="shared" si="537"/>
        <v>0</v>
      </c>
      <c r="BP108" s="519">
        <f t="shared" si="537"/>
        <v>0</v>
      </c>
      <c r="BQ108" s="519">
        <f t="shared" si="537"/>
        <v>0</v>
      </c>
      <c r="BR108" s="519">
        <f t="shared" si="537"/>
        <v>0</v>
      </c>
      <c r="BS108" s="519">
        <f t="shared" si="537"/>
        <v>0</v>
      </c>
      <c r="BT108" s="519">
        <f t="shared" si="537"/>
        <v>0</v>
      </c>
      <c r="BU108" s="519">
        <f t="shared" si="537"/>
        <v>0</v>
      </c>
      <c r="BV108" s="519">
        <f t="shared" si="537"/>
        <v>0</v>
      </c>
      <c r="BW108" s="519">
        <f t="shared" si="537"/>
        <v>0</v>
      </c>
      <c r="BX108" s="519">
        <f t="shared" si="537"/>
        <v>0</v>
      </c>
      <c r="BY108" s="519">
        <f t="shared" si="537"/>
        <v>0</v>
      </c>
      <c r="BZ108" s="519">
        <f t="shared" si="537"/>
        <v>0</v>
      </c>
      <c r="CA108" s="519">
        <f t="shared" si="537"/>
        <v>0</v>
      </c>
      <c r="CB108" s="519">
        <f t="shared" si="537"/>
        <v>0</v>
      </c>
      <c r="CC108" s="519">
        <f t="shared" si="537"/>
        <v>0</v>
      </c>
      <c r="CD108" s="519">
        <f t="shared" ref="CD108" si="539">IF(CD16="Orlov",0,CD47/3*2*CD14)</f>
        <v>0</v>
      </c>
      <c r="CE108" s="519">
        <f t="shared" si="537"/>
        <v>0</v>
      </c>
      <c r="CF108" s="519">
        <f t="shared" ref="CF108:CG108" si="540">IF(CF16="Orlov",0,CF47/3*2*CF14)</f>
        <v>0</v>
      </c>
      <c r="CG108" s="519">
        <f t="shared" si="540"/>
        <v>0</v>
      </c>
      <c r="CH108" s="519">
        <f t="shared" si="537"/>
        <v>0</v>
      </c>
      <c r="CI108" s="519">
        <f t="shared" si="537"/>
        <v>0</v>
      </c>
      <c r="CJ108" s="519">
        <f t="shared" si="537"/>
        <v>0</v>
      </c>
      <c r="CK108" s="519">
        <f t="shared" si="537"/>
        <v>0</v>
      </c>
      <c r="CL108" s="519">
        <f t="shared" ref="CL108:DD108" si="541">IF(CL16="Orlov",0,CL47/3*2*CL14)</f>
        <v>0</v>
      </c>
      <c r="CM108" s="519">
        <f t="shared" si="541"/>
        <v>0</v>
      </c>
      <c r="CN108" s="519">
        <f t="shared" si="541"/>
        <v>0</v>
      </c>
      <c r="CO108" s="519">
        <f t="shared" si="541"/>
        <v>0</v>
      </c>
      <c r="CP108" s="519">
        <f t="shared" si="541"/>
        <v>0</v>
      </c>
      <c r="CQ108" s="519">
        <f t="shared" si="541"/>
        <v>0</v>
      </c>
      <c r="CR108" s="519">
        <f t="shared" si="541"/>
        <v>0</v>
      </c>
      <c r="CS108" s="519">
        <f t="shared" si="541"/>
        <v>0</v>
      </c>
      <c r="CT108" s="519">
        <f t="shared" si="541"/>
        <v>0</v>
      </c>
      <c r="CU108" s="519">
        <f t="shared" si="541"/>
        <v>0</v>
      </c>
      <c r="CV108" s="519">
        <f t="shared" si="541"/>
        <v>0</v>
      </c>
      <c r="CW108" s="519">
        <f t="shared" si="541"/>
        <v>0</v>
      </c>
      <c r="CX108" s="519">
        <f t="shared" si="541"/>
        <v>0</v>
      </c>
      <c r="CY108" s="519">
        <f t="shared" si="541"/>
        <v>0</v>
      </c>
      <c r="CZ108" s="519">
        <f t="shared" si="541"/>
        <v>0</v>
      </c>
      <c r="DA108" s="519">
        <f t="shared" si="541"/>
        <v>0</v>
      </c>
      <c r="DB108" s="519">
        <f t="shared" si="541"/>
        <v>0</v>
      </c>
      <c r="DC108" s="519">
        <f t="shared" si="541"/>
        <v>0</v>
      </c>
      <c r="DD108" s="519">
        <f t="shared" si="541"/>
        <v>0</v>
      </c>
    </row>
    <row r="109" spans="1:108" ht="13" hidden="1" customHeight="1">
      <c r="A109" s="542"/>
      <c r="B109" s="519" t="s">
        <v>677</v>
      </c>
      <c r="C109" s="602">
        <f t="shared" ref="C109:AZ109" si="542">C49</f>
        <v>0</v>
      </c>
      <c r="D109" s="602">
        <f t="shared" si="542"/>
        <v>0</v>
      </c>
      <c r="E109" s="602">
        <f t="shared" si="542"/>
        <v>0</v>
      </c>
      <c r="F109" s="602">
        <f t="shared" ref="F109" si="543">F49</f>
        <v>0</v>
      </c>
      <c r="G109" s="602">
        <f t="shared" si="542"/>
        <v>0</v>
      </c>
      <c r="H109" s="602">
        <f t="shared" si="542"/>
        <v>0</v>
      </c>
      <c r="I109" s="602">
        <f t="shared" ref="I109" si="544">I49</f>
        <v>0</v>
      </c>
      <c r="J109" s="602">
        <f t="shared" si="542"/>
        <v>0</v>
      </c>
      <c r="K109" s="602">
        <f t="shared" si="542"/>
        <v>0</v>
      </c>
      <c r="L109" s="602">
        <f t="shared" si="542"/>
        <v>0</v>
      </c>
      <c r="M109" s="602">
        <f t="shared" si="542"/>
        <v>0</v>
      </c>
      <c r="N109" s="602">
        <f t="shared" si="542"/>
        <v>0</v>
      </c>
      <c r="O109" s="602">
        <f t="shared" si="542"/>
        <v>0</v>
      </c>
      <c r="P109" s="602">
        <f t="shared" si="542"/>
        <v>0</v>
      </c>
      <c r="Q109" s="602">
        <f t="shared" si="542"/>
        <v>0</v>
      </c>
      <c r="R109" s="602">
        <f t="shared" si="542"/>
        <v>0</v>
      </c>
      <c r="S109" s="602">
        <f t="shared" si="542"/>
        <v>0</v>
      </c>
      <c r="T109" s="602">
        <f t="shared" si="542"/>
        <v>0</v>
      </c>
      <c r="U109" s="602">
        <f t="shared" si="542"/>
        <v>0</v>
      </c>
      <c r="V109" s="602">
        <f t="shared" si="542"/>
        <v>0</v>
      </c>
      <c r="W109" s="602">
        <f t="shared" si="542"/>
        <v>0</v>
      </c>
      <c r="X109" s="602">
        <f t="shared" si="542"/>
        <v>0</v>
      </c>
      <c r="Y109" s="602">
        <f t="shared" ref="Y109" si="545">Y49</f>
        <v>0</v>
      </c>
      <c r="Z109" s="602">
        <f t="shared" si="542"/>
        <v>0</v>
      </c>
      <c r="AA109" s="602">
        <f t="shared" si="542"/>
        <v>0</v>
      </c>
      <c r="AB109" s="602">
        <f t="shared" si="542"/>
        <v>0</v>
      </c>
      <c r="AC109" s="602">
        <f t="shared" si="542"/>
        <v>0</v>
      </c>
      <c r="AD109" s="602">
        <f t="shared" si="542"/>
        <v>0</v>
      </c>
      <c r="AE109" s="602">
        <f t="shared" ref="AE109" si="546">AE49</f>
        <v>0</v>
      </c>
      <c r="AF109" s="602">
        <f t="shared" si="542"/>
        <v>0</v>
      </c>
      <c r="AG109" s="602">
        <f t="shared" si="542"/>
        <v>0</v>
      </c>
      <c r="AH109" s="602">
        <f t="shared" si="542"/>
        <v>0</v>
      </c>
      <c r="AI109" s="602">
        <f t="shared" si="542"/>
        <v>0</v>
      </c>
      <c r="AJ109" s="602">
        <f t="shared" si="542"/>
        <v>0</v>
      </c>
      <c r="AK109" s="602">
        <f t="shared" ref="AK109:AN109" si="547">AK49</f>
        <v>0</v>
      </c>
      <c r="AL109" s="602">
        <f t="shared" si="547"/>
        <v>0</v>
      </c>
      <c r="AM109" s="602">
        <f t="shared" si="547"/>
        <v>0</v>
      </c>
      <c r="AN109" s="602">
        <f t="shared" si="547"/>
        <v>0</v>
      </c>
      <c r="AO109" s="602">
        <f t="shared" ref="AO109:AY109" si="548">AO49</f>
        <v>0</v>
      </c>
      <c r="AP109" s="602">
        <f t="shared" si="548"/>
        <v>0</v>
      </c>
      <c r="AQ109" s="602">
        <f t="shared" si="548"/>
        <v>0</v>
      </c>
      <c r="AR109" s="602">
        <f t="shared" si="548"/>
        <v>0</v>
      </c>
      <c r="AS109" s="602">
        <f t="shared" si="548"/>
        <v>0</v>
      </c>
      <c r="AT109" s="602">
        <f t="shared" si="548"/>
        <v>0</v>
      </c>
      <c r="AU109" s="602">
        <f t="shared" si="548"/>
        <v>0</v>
      </c>
      <c r="AV109" s="602">
        <f t="shared" si="548"/>
        <v>0</v>
      </c>
      <c r="AW109" s="602">
        <f t="shared" si="548"/>
        <v>0</v>
      </c>
      <c r="AX109" s="602">
        <f t="shared" si="548"/>
        <v>0</v>
      </c>
      <c r="AY109" s="602">
        <f t="shared" si="548"/>
        <v>0</v>
      </c>
      <c r="AZ109" s="602">
        <f t="shared" si="542"/>
        <v>0</v>
      </c>
      <c r="BA109" s="602">
        <f t="shared" ref="BA109:CK109" si="549">BA49</f>
        <v>0</v>
      </c>
      <c r="BB109" s="602">
        <f t="shared" si="549"/>
        <v>0</v>
      </c>
      <c r="BC109" s="602">
        <f t="shared" ref="BC109" si="550">BC49</f>
        <v>0</v>
      </c>
      <c r="BD109" s="602">
        <f t="shared" si="549"/>
        <v>0</v>
      </c>
      <c r="BE109" s="602">
        <f t="shared" si="549"/>
        <v>0</v>
      </c>
      <c r="BF109" s="602">
        <f t="shared" si="549"/>
        <v>0</v>
      </c>
      <c r="BG109" s="602">
        <f t="shared" si="549"/>
        <v>0</v>
      </c>
      <c r="BH109" s="602">
        <f t="shared" si="549"/>
        <v>0</v>
      </c>
      <c r="BI109" s="602">
        <f t="shared" si="549"/>
        <v>0</v>
      </c>
      <c r="BJ109" s="602">
        <f t="shared" si="549"/>
        <v>0</v>
      </c>
      <c r="BK109" s="602">
        <f t="shared" si="549"/>
        <v>0</v>
      </c>
      <c r="BL109" s="602">
        <f t="shared" si="549"/>
        <v>0</v>
      </c>
      <c r="BM109" s="602">
        <f t="shared" si="549"/>
        <v>0</v>
      </c>
      <c r="BN109" s="602">
        <f t="shared" si="549"/>
        <v>0</v>
      </c>
      <c r="BO109" s="602">
        <f t="shared" si="549"/>
        <v>0</v>
      </c>
      <c r="BP109" s="602">
        <f t="shared" si="549"/>
        <v>0</v>
      </c>
      <c r="BQ109" s="602">
        <f t="shared" si="549"/>
        <v>0</v>
      </c>
      <c r="BR109" s="602">
        <f t="shared" si="549"/>
        <v>0</v>
      </c>
      <c r="BS109" s="602">
        <f t="shared" si="549"/>
        <v>0</v>
      </c>
      <c r="BT109" s="602">
        <f t="shared" si="549"/>
        <v>0</v>
      </c>
      <c r="BU109" s="602">
        <f t="shared" si="549"/>
        <v>0</v>
      </c>
      <c r="BV109" s="602">
        <f t="shared" si="549"/>
        <v>0</v>
      </c>
      <c r="BW109" s="602">
        <f t="shared" si="549"/>
        <v>0</v>
      </c>
      <c r="BX109" s="602">
        <f t="shared" si="549"/>
        <v>0</v>
      </c>
      <c r="BY109" s="602">
        <f t="shared" si="549"/>
        <v>0</v>
      </c>
      <c r="BZ109" s="602">
        <f t="shared" si="549"/>
        <v>0</v>
      </c>
      <c r="CA109" s="602">
        <f t="shared" si="549"/>
        <v>0</v>
      </c>
      <c r="CB109" s="602">
        <f t="shared" si="549"/>
        <v>0</v>
      </c>
      <c r="CC109" s="602">
        <f t="shared" si="549"/>
        <v>0</v>
      </c>
      <c r="CD109" s="602">
        <f t="shared" ref="CD109" si="551">CD49</f>
        <v>0</v>
      </c>
      <c r="CE109" s="602">
        <f t="shared" si="549"/>
        <v>0</v>
      </c>
      <c r="CF109" s="602">
        <f t="shared" ref="CF109:CG109" si="552">CF49</f>
        <v>0</v>
      </c>
      <c r="CG109" s="602">
        <f t="shared" si="552"/>
        <v>0</v>
      </c>
      <c r="CH109" s="602">
        <f t="shared" si="549"/>
        <v>0</v>
      </c>
      <c r="CI109" s="602">
        <f t="shared" si="549"/>
        <v>0</v>
      </c>
      <c r="CJ109" s="602">
        <f t="shared" si="549"/>
        <v>0</v>
      </c>
      <c r="CK109" s="602">
        <f t="shared" si="549"/>
        <v>0</v>
      </c>
      <c r="CL109" s="602">
        <f t="shared" ref="CL109:DD109" si="553">CL49</f>
        <v>0</v>
      </c>
      <c r="CM109" s="602">
        <f t="shared" si="553"/>
        <v>0</v>
      </c>
      <c r="CN109" s="602">
        <f t="shared" si="553"/>
        <v>0</v>
      </c>
      <c r="CO109" s="602">
        <f t="shared" si="553"/>
        <v>0</v>
      </c>
      <c r="CP109" s="602">
        <f t="shared" si="553"/>
        <v>0</v>
      </c>
      <c r="CQ109" s="602">
        <f t="shared" si="553"/>
        <v>0</v>
      </c>
      <c r="CR109" s="602">
        <f t="shared" si="553"/>
        <v>0</v>
      </c>
      <c r="CS109" s="602">
        <f t="shared" si="553"/>
        <v>0</v>
      </c>
      <c r="CT109" s="602">
        <f t="shared" si="553"/>
        <v>0</v>
      </c>
      <c r="CU109" s="602">
        <f t="shared" si="553"/>
        <v>0</v>
      </c>
      <c r="CV109" s="602">
        <f t="shared" si="553"/>
        <v>0</v>
      </c>
      <c r="CW109" s="602">
        <f t="shared" si="553"/>
        <v>0</v>
      </c>
      <c r="CX109" s="602">
        <f t="shared" si="553"/>
        <v>0</v>
      </c>
      <c r="CY109" s="602">
        <f t="shared" si="553"/>
        <v>0</v>
      </c>
      <c r="CZ109" s="602">
        <f t="shared" si="553"/>
        <v>0</v>
      </c>
      <c r="DA109" s="602">
        <f t="shared" si="553"/>
        <v>0</v>
      </c>
      <c r="DB109" s="602">
        <f t="shared" si="553"/>
        <v>0</v>
      </c>
      <c r="DC109" s="602">
        <f t="shared" si="553"/>
        <v>0</v>
      </c>
      <c r="DD109" s="602">
        <f t="shared" si="553"/>
        <v>0</v>
      </c>
    </row>
    <row r="110" spans="1:108" ht="13" hidden="1" customHeight="1">
      <c r="A110" s="542"/>
      <c r="B110" s="519" t="s">
        <v>503</v>
      </c>
      <c r="C110" s="519">
        <f t="shared" ref="C110:AZ110" si="554">IF(C16="Orlov",0,C51)</f>
        <v>0</v>
      </c>
      <c r="D110" s="519">
        <f t="shared" si="554"/>
        <v>0</v>
      </c>
      <c r="E110" s="519">
        <f t="shared" si="554"/>
        <v>0</v>
      </c>
      <c r="F110" s="519">
        <f t="shared" ref="F110" si="555">IF(F16="Orlov",0,F51)</f>
        <v>0</v>
      </c>
      <c r="G110" s="519">
        <f t="shared" si="554"/>
        <v>0</v>
      </c>
      <c r="H110" s="519">
        <f t="shared" si="554"/>
        <v>0</v>
      </c>
      <c r="I110" s="519">
        <f t="shared" ref="I110" si="556">IF(I16="Orlov",0,I51)</f>
        <v>0</v>
      </c>
      <c r="J110" s="519">
        <f t="shared" si="554"/>
        <v>0</v>
      </c>
      <c r="K110" s="519">
        <f t="shared" si="554"/>
        <v>0</v>
      </c>
      <c r="L110" s="519">
        <f t="shared" si="554"/>
        <v>0</v>
      </c>
      <c r="M110" s="519">
        <f t="shared" si="554"/>
        <v>0</v>
      </c>
      <c r="N110" s="519">
        <f t="shared" si="554"/>
        <v>0</v>
      </c>
      <c r="O110" s="519">
        <f t="shared" si="554"/>
        <v>0</v>
      </c>
      <c r="P110" s="519">
        <f t="shared" si="554"/>
        <v>0</v>
      </c>
      <c r="Q110" s="519">
        <f t="shared" si="554"/>
        <v>0</v>
      </c>
      <c r="R110" s="519">
        <f t="shared" si="554"/>
        <v>0</v>
      </c>
      <c r="S110" s="519">
        <f t="shared" si="554"/>
        <v>0</v>
      </c>
      <c r="T110" s="519">
        <f t="shared" si="554"/>
        <v>0</v>
      </c>
      <c r="U110" s="519">
        <f t="shared" si="554"/>
        <v>0</v>
      </c>
      <c r="V110" s="519">
        <f t="shared" si="554"/>
        <v>0</v>
      </c>
      <c r="W110" s="519">
        <f t="shared" si="554"/>
        <v>0</v>
      </c>
      <c r="X110" s="519">
        <f t="shared" si="554"/>
        <v>0</v>
      </c>
      <c r="Y110" s="519">
        <f t="shared" ref="Y110" si="557">IF(Y16="Orlov",0,Y51)</f>
        <v>0</v>
      </c>
      <c r="Z110" s="519">
        <f t="shared" si="554"/>
        <v>0</v>
      </c>
      <c r="AA110" s="519">
        <f t="shared" si="554"/>
        <v>0</v>
      </c>
      <c r="AB110" s="519">
        <f t="shared" si="554"/>
        <v>0</v>
      </c>
      <c r="AC110" s="519">
        <f t="shared" si="554"/>
        <v>0</v>
      </c>
      <c r="AD110" s="519">
        <f t="shared" si="554"/>
        <v>0</v>
      </c>
      <c r="AE110" s="519">
        <f t="shared" ref="AE110" si="558">IF(AE16="Orlov",0,AE51)</f>
        <v>0</v>
      </c>
      <c r="AF110" s="519">
        <f t="shared" si="554"/>
        <v>0</v>
      </c>
      <c r="AG110" s="519">
        <f t="shared" si="554"/>
        <v>0</v>
      </c>
      <c r="AH110" s="519">
        <f t="shared" si="554"/>
        <v>0</v>
      </c>
      <c r="AI110" s="519">
        <f t="shared" si="554"/>
        <v>0</v>
      </c>
      <c r="AJ110" s="519">
        <f t="shared" si="554"/>
        <v>0</v>
      </c>
      <c r="AK110" s="519">
        <f t="shared" ref="AK110:AN110" si="559">IF(AK16="Orlov",0,AK51)</f>
        <v>0</v>
      </c>
      <c r="AL110" s="519">
        <f t="shared" si="559"/>
        <v>0</v>
      </c>
      <c r="AM110" s="519">
        <f t="shared" si="559"/>
        <v>0</v>
      </c>
      <c r="AN110" s="519">
        <f t="shared" si="559"/>
        <v>0</v>
      </c>
      <c r="AO110" s="519">
        <f t="shared" ref="AO110:AY110" si="560">IF(AO16="Orlov",0,AO51)</f>
        <v>0</v>
      </c>
      <c r="AP110" s="519">
        <f t="shared" si="560"/>
        <v>0</v>
      </c>
      <c r="AQ110" s="519">
        <f t="shared" si="560"/>
        <v>0</v>
      </c>
      <c r="AR110" s="519">
        <f t="shared" si="560"/>
        <v>0</v>
      </c>
      <c r="AS110" s="519">
        <f t="shared" si="560"/>
        <v>0</v>
      </c>
      <c r="AT110" s="519">
        <f t="shared" si="560"/>
        <v>0</v>
      </c>
      <c r="AU110" s="519">
        <f t="shared" si="560"/>
        <v>0</v>
      </c>
      <c r="AV110" s="519">
        <f t="shared" si="560"/>
        <v>0</v>
      </c>
      <c r="AW110" s="519">
        <f t="shared" si="560"/>
        <v>0</v>
      </c>
      <c r="AX110" s="519">
        <f t="shared" si="560"/>
        <v>0</v>
      </c>
      <c r="AY110" s="519">
        <f t="shared" si="560"/>
        <v>0</v>
      </c>
      <c r="AZ110" s="519">
        <f t="shared" si="554"/>
        <v>0</v>
      </c>
      <c r="BA110" s="519">
        <f t="shared" ref="BA110:CK110" si="561">IF(BA16="Orlov",0,BA51)</f>
        <v>0</v>
      </c>
      <c r="BB110" s="519">
        <f t="shared" si="561"/>
        <v>0</v>
      </c>
      <c r="BC110" s="519">
        <f t="shared" ref="BC110" si="562">IF(BC16="Orlov",0,BC51)</f>
        <v>0</v>
      </c>
      <c r="BD110" s="519">
        <f t="shared" si="561"/>
        <v>0</v>
      </c>
      <c r="BE110" s="519">
        <f t="shared" si="561"/>
        <v>0</v>
      </c>
      <c r="BF110" s="519">
        <f t="shared" si="561"/>
        <v>0</v>
      </c>
      <c r="BG110" s="519">
        <f t="shared" si="561"/>
        <v>0</v>
      </c>
      <c r="BH110" s="519">
        <f t="shared" si="561"/>
        <v>0</v>
      </c>
      <c r="BI110" s="519">
        <f t="shared" si="561"/>
        <v>0</v>
      </c>
      <c r="BJ110" s="519">
        <f t="shared" si="561"/>
        <v>0</v>
      </c>
      <c r="BK110" s="519">
        <f t="shared" si="561"/>
        <v>0</v>
      </c>
      <c r="BL110" s="519">
        <f t="shared" si="561"/>
        <v>0</v>
      </c>
      <c r="BM110" s="519">
        <f t="shared" si="561"/>
        <v>0</v>
      </c>
      <c r="BN110" s="519">
        <f t="shared" si="561"/>
        <v>0</v>
      </c>
      <c r="BO110" s="519">
        <f t="shared" si="561"/>
        <v>0</v>
      </c>
      <c r="BP110" s="519">
        <f t="shared" si="561"/>
        <v>0</v>
      </c>
      <c r="BQ110" s="519">
        <f t="shared" si="561"/>
        <v>0</v>
      </c>
      <c r="BR110" s="519">
        <f t="shared" si="561"/>
        <v>0</v>
      </c>
      <c r="BS110" s="519">
        <f t="shared" si="561"/>
        <v>0</v>
      </c>
      <c r="BT110" s="519">
        <f t="shared" si="561"/>
        <v>0</v>
      </c>
      <c r="BU110" s="519">
        <f t="shared" si="561"/>
        <v>0</v>
      </c>
      <c r="BV110" s="519">
        <f t="shared" si="561"/>
        <v>0</v>
      </c>
      <c r="BW110" s="519">
        <f t="shared" si="561"/>
        <v>0</v>
      </c>
      <c r="BX110" s="519">
        <f t="shared" si="561"/>
        <v>0</v>
      </c>
      <c r="BY110" s="519">
        <f t="shared" si="561"/>
        <v>0</v>
      </c>
      <c r="BZ110" s="519">
        <f t="shared" si="561"/>
        <v>0</v>
      </c>
      <c r="CA110" s="519">
        <f t="shared" si="561"/>
        <v>0</v>
      </c>
      <c r="CB110" s="519">
        <f t="shared" si="561"/>
        <v>0</v>
      </c>
      <c r="CC110" s="519">
        <f t="shared" si="561"/>
        <v>0</v>
      </c>
      <c r="CD110" s="519">
        <f t="shared" ref="CD110" si="563">IF(CD16="Orlov",0,CD51)</f>
        <v>0</v>
      </c>
      <c r="CE110" s="519">
        <f t="shared" si="561"/>
        <v>0</v>
      </c>
      <c r="CF110" s="519">
        <f t="shared" ref="CF110:CG110" si="564">IF(CF16="Orlov",0,CF51)</f>
        <v>0</v>
      </c>
      <c r="CG110" s="519">
        <f t="shared" si="564"/>
        <v>0</v>
      </c>
      <c r="CH110" s="519">
        <f t="shared" si="561"/>
        <v>0</v>
      </c>
      <c r="CI110" s="519">
        <f t="shared" si="561"/>
        <v>0</v>
      </c>
      <c r="CJ110" s="519">
        <f t="shared" si="561"/>
        <v>0</v>
      </c>
      <c r="CK110" s="519">
        <f t="shared" si="561"/>
        <v>0</v>
      </c>
      <c r="CL110" s="519">
        <f t="shared" ref="CL110:DD110" si="565">IF(CL16="Orlov",0,CL51)</f>
        <v>0</v>
      </c>
      <c r="CM110" s="519">
        <f t="shared" si="565"/>
        <v>0</v>
      </c>
      <c r="CN110" s="519">
        <f t="shared" si="565"/>
        <v>0</v>
      </c>
      <c r="CO110" s="519">
        <f t="shared" si="565"/>
        <v>0</v>
      </c>
      <c r="CP110" s="519">
        <f t="shared" si="565"/>
        <v>0</v>
      </c>
      <c r="CQ110" s="519">
        <f t="shared" si="565"/>
        <v>0</v>
      </c>
      <c r="CR110" s="519">
        <f t="shared" si="565"/>
        <v>0</v>
      </c>
      <c r="CS110" s="519">
        <f t="shared" si="565"/>
        <v>0</v>
      </c>
      <c r="CT110" s="519">
        <f t="shared" si="565"/>
        <v>0</v>
      </c>
      <c r="CU110" s="519">
        <f t="shared" si="565"/>
        <v>0</v>
      </c>
      <c r="CV110" s="519">
        <f t="shared" si="565"/>
        <v>0</v>
      </c>
      <c r="CW110" s="519">
        <f t="shared" si="565"/>
        <v>0</v>
      </c>
      <c r="CX110" s="519">
        <f t="shared" si="565"/>
        <v>0</v>
      </c>
      <c r="CY110" s="519">
        <f t="shared" si="565"/>
        <v>0</v>
      </c>
      <c r="CZ110" s="519">
        <f t="shared" si="565"/>
        <v>0</v>
      </c>
      <c r="DA110" s="519">
        <f t="shared" si="565"/>
        <v>0</v>
      </c>
      <c r="DB110" s="519">
        <f t="shared" si="565"/>
        <v>0</v>
      </c>
      <c r="DC110" s="519">
        <f t="shared" si="565"/>
        <v>0</v>
      </c>
      <c r="DD110" s="519">
        <f t="shared" si="565"/>
        <v>0</v>
      </c>
    </row>
    <row r="111" spans="1:108" ht="13" hidden="1" customHeight="1">
      <c r="B111" s="62" t="s">
        <v>636</v>
      </c>
      <c r="C111" s="67">
        <f t="shared" ref="C111:AZ111" si="566">IF(C16="Orlov",0,C53)</f>
        <v>0</v>
      </c>
      <c r="D111" s="67">
        <f t="shared" si="566"/>
        <v>0</v>
      </c>
      <c r="E111" s="67">
        <f t="shared" si="566"/>
        <v>0</v>
      </c>
      <c r="F111" s="67">
        <f t="shared" ref="F111" si="567">IF(F16="Orlov",0,F53)</f>
        <v>0</v>
      </c>
      <c r="G111" s="67">
        <f t="shared" si="566"/>
        <v>0</v>
      </c>
      <c r="H111" s="67">
        <f t="shared" si="566"/>
        <v>0</v>
      </c>
      <c r="I111" s="67">
        <f t="shared" ref="I111" si="568">IF(I16="Orlov",0,I53)</f>
        <v>0</v>
      </c>
      <c r="J111" s="67">
        <f t="shared" si="566"/>
        <v>0</v>
      </c>
      <c r="K111" s="67">
        <f t="shared" si="566"/>
        <v>0</v>
      </c>
      <c r="L111" s="67">
        <f t="shared" si="566"/>
        <v>0</v>
      </c>
      <c r="M111" s="67">
        <f t="shared" si="566"/>
        <v>0</v>
      </c>
      <c r="N111" s="67">
        <f t="shared" si="566"/>
        <v>0</v>
      </c>
      <c r="O111" s="67">
        <f t="shared" si="566"/>
        <v>0</v>
      </c>
      <c r="P111" s="67">
        <f t="shared" si="566"/>
        <v>0</v>
      </c>
      <c r="Q111" s="67">
        <f t="shared" si="566"/>
        <v>0</v>
      </c>
      <c r="R111" s="67">
        <f t="shared" si="566"/>
        <v>0</v>
      </c>
      <c r="S111" s="67">
        <f t="shared" si="566"/>
        <v>0</v>
      </c>
      <c r="T111" s="67">
        <f t="shared" si="566"/>
        <v>0</v>
      </c>
      <c r="U111" s="67">
        <f t="shared" si="566"/>
        <v>0</v>
      </c>
      <c r="V111" s="67">
        <f t="shared" si="566"/>
        <v>0</v>
      </c>
      <c r="W111" s="67">
        <f t="shared" si="566"/>
        <v>0</v>
      </c>
      <c r="X111" s="67">
        <f t="shared" si="566"/>
        <v>0</v>
      </c>
      <c r="Y111" s="67">
        <f t="shared" ref="Y111" si="569">IF(Y16="Orlov",0,Y53)</f>
        <v>0</v>
      </c>
      <c r="Z111" s="67">
        <f t="shared" si="566"/>
        <v>0</v>
      </c>
      <c r="AA111" s="67">
        <f t="shared" si="566"/>
        <v>0</v>
      </c>
      <c r="AB111" s="67">
        <f t="shared" si="566"/>
        <v>0</v>
      </c>
      <c r="AC111" s="67">
        <f t="shared" si="566"/>
        <v>0</v>
      </c>
      <c r="AD111" s="67">
        <f t="shared" si="566"/>
        <v>0</v>
      </c>
      <c r="AE111" s="67">
        <f t="shared" ref="AE111" si="570">IF(AE16="Orlov",0,AE53)</f>
        <v>0</v>
      </c>
      <c r="AF111" s="67">
        <f t="shared" si="566"/>
        <v>0</v>
      </c>
      <c r="AG111" s="67">
        <f t="shared" si="566"/>
        <v>0</v>
      </c>
      <c r="AH111" s="67">
        <f t="shared" si="566"/>
        <v>0</v>
      </c>
      <c r="AI111" s="67">
        <f t="shared" si="566"/>
        <v>0</v>
      </c>
      <c r="AJ111" s="67">
        <f t="shared" si="566"/>
        <v>0</v>
      </c>
      <c r="AK111" s="67">
        <f t="shared" ref="AK111:AN111" si="571">IF(AK16="Orlov",0,AK53)</f>
        <v>0</v>
      </c>
      <c r="AL111" s="67">
        <f t="shared" si="571"/>
        <v>0</v>
      </c>
      <c r="AM111" s="67">
        <f t="shared" si="571"/>
        <v>0</v>
      </c>
      <c r="AN111" s="67">
        <f t="shared" si="571"/>
        <v>0</v>
      </c>
      <c r="AO111" s="67">
        <f t="shared" ref="AO111:AY111" si="572">IF(AO16="Orlov",0,AO53)</f>
        <v>0</v>
      </c>
      <c r="AP111" s="67">
        <f t="shared" si="572"/>
        <v>0</v>
      </c>
      <c r="AQ111" s="67">
        <f t="shared" si="572"/>
        <v>0</v>
      </c>
      <c r="AR111" s="67">
        <f t="shared" si="572"/>
        <v>0</v>
      </c>
      <c r="AS111" s="67">
        <f t="shared" si="572"/>
        <v>0</v>
      </c>
      <c r="AT111" s="67">
        <f t="shared" si="572"/>
        <v>0</v>
      </c>
      <c r="AU111" s="67">
        <f t="shared" si="572"/>
        <v>0</v>
      </c>
      <c r="AV111" s="67">
        <f t="shared" si="572"/>
        <v>0</v>
      </c>
      <c r="AW111" s="67">
        <f t="shared" si="572"/>
        <v>0</v>
      </c>
      <c r="AX111" s="67">
        <f t="shared" si="572"/>
        <v>0</v>
      </c>
      <c r="AY111" s="67">
        <f t="shared" si="572"/>
        <v>0</v>
      </c>
      <c r="AZ111" s="67">
        <f t="shared" si="566"/>
        <v>0</v>
      </c>
      <c r="BA111" s="67">
        <f t="shared" ref="BA111:CK111" si="573">IF(BA16="Orlov",0,BA53)</f>
        <v>0</v>
      </c>
      <c r="BB111" s="67">
        <f t="shared" si="573"/>
        <v>0</v>
      </c>
      <c r="BC111" s="67">
        <f t="shared" ref="BC111" si="574">IF(BC16="Orlov",0,BC53)</f>
        <v>0</v>
      </c>
      <c r="BD111" s="67">
        <f t="shared" si="573"/>
        <v>0</v>
      </c>
      <c r="BE111" s="67">
        <f t="shared" si="573"/>
        <v>0</v>
      </c>
      <c r="BF111" s="67">
        <f t="shared" si="573"/>
        <v>0</v>
      </c>
      <c r="BG111" s="67">
        <f t="shared" si="573"/>
        <v>0</v>
      </c>
      <c r="BH111" s="67">
        <f t="shared" si="573"/>
        <v>0</v>
      </c>
      <c r="BI111" s="67">
        <f t="shared" si="573"/>
        <v>0</v>
      </c>
      <c r="BJ111" s="67">
        <f t="shared" si="573"/>
        <v>0</v>
      </c>
      <c r="BK111" s="67">
        <f t="shared" si="573"/>
        <v>0</v>
      </c>
      <c r="BL111" s="67">
        <f t="shared" si="573"/>
        <v>0</v>
      </c>
      <c r="BM111" s="67">
        <f t="shared" si="573"/>
        <v>0</v>
      </c>
      <c r="BN111" s="67">
        <f t="shared" si="573"/>
        <v>0</v>
      </c>
      <c r="BO111" s="67">
        <f t="shared" si="573"/>
        <v>0</v>
      </c>
      <c r="BP111" s="67">
        <f t="shared" si="573"/>
        <v>0</v>
      </c>
      <c r="BQ111" s="67">
        <f t="shared" si="573"/>
        <v>0</v>
      </c>
      <c r="BR111" s="67">
        <f t="shared" si="573"/>
        <v>0</v>
      </c>
      <c r="BS111" s="67">
        <f t="shared" si="573"/>
        <v>0</v>
      </c>
      <c r="BT111" s="67">
        <f t="shared" si="573"/>
        <v>0</v>
      </c>
      <c r="BU111" s="67">
        <f t="shared" si="573"/>
        <v>0</v>
      </c>
      <c r="BV111" s="67">
        <f t="shared" si="573"/>
        <v>0</v>
      </c>
      <c r="BW111" s="67">
        <f t="shared" si="573"/>
        <v>0</v>
      </c>
      <c r="BX111" s="67">
        <f t="shared" si="573"/>
        <v>0</v>
      </c>
      <c r="BY111" s="67">
        <f t="shared" si="573"/>
        <v>0</v>
      </c>
      <c r="BZ111" s="67">
        <f t="shared" si="573"/>
        <v>0</v>
      </c>
      <c r="CA111" s="67">
        <f t="shared" si="573"/>
        <v>0</v>
      </c>
      <c r="CB111" s="67">
        <f t="shared" si="573"/>
        <v>0</v>
      </c>
      <c r="CC111" s="67">
        <f t="shared" si="573"/>
        <v>0</v>
      </c>
      <c r="CD111" s="67">
        <f t="shared" ref="CD111" si="575">IF(CD16="Orlov",0,CD53)</f>
        <v>0</v>
      </c>
      <c r="CE111" s="67">
        <f t="shared" si="573"/>
        <v>0</v>
      </c>
      <c r="CF111" s="67">
        <f t="shared" ref="CF111:CG111" si="576">IF(CF16="Orlov",0,CF53)</f>
        <v>0</v>
      </c>
      <c r="CG111" s="67">
        <f t="shared" si="576"/>
        <v>0</v>
      </c>
      <c r="CH111" s="67">
        <f t="shared" si="573"/>
        <v>0</v>
      </c>
      <c r="CI111" s="67">
        <f t="shared" si="573"/>
        <v>0</v>
      </c>
      <c r="CJ111" s="67">
        <f t="shared" si="573"/>
        <v>0</v>
      </c>
      <c r="CK111" s="67">
        <f t="shared" si="573"/>
        <v>0</v>
      </c>
      <c r="CL111" s="67">
        <f t="shared" ref="CL111:DD111" si="577">IF(CL16="Orlov",0,CL53)</f>
        <v>0</v>
      </c>
      <c r="CM111" s="67">
        <f t="shared" si="577"/>
        <v>0</v>
      </c>
      <c r="CN111" s="67">
        <f t="shared" si="577"/>
        <v>0</v>
      </c>
      <c r="CO111" s="67">
        <f t="shared" si="577"/>
        <v>0</v>
      </c>
      <c r="CP111" s="67">
        <f t="shared" si="577"/>
        <v>0</v>
      </c>
      <c r="CQ111" s="67">
        <f t="shared" si="577"/>
        <v>0</v>
      </c>
      <c r="CR111" s="67">
        <f t="shared" si="577"/>
        <v>0</v>
      </c>
      <c r="CS111" s="67">
        <f t="shared" si="577"/>
        <v>0</v>
      </c>
      <c r="CT111" s="67">
        <f t="shared" si="577"/>
        <v>0</v>
      </c>
      <c r="CU111" s="67">
        <f t="shared" si="577"/>
        <v>0</v>
      </c>
      <c r="CV111" s="67">
        <f t="shared" si="577"/>
        <v>0</v>
      </c>
      <c r="CW111" s="67">
        <f t="shared" si="577"/>
        <v>0</v>
      </c>
      <c r="CX111" s="67">
        <f t="shared" si="577"/>
        <v>0</v>
      </c>
      <c r="CY111" s="67">
        <f t="shared" si="577"/>
        <v>0</v>
      </c>
      <c r="CZ111" s="67">
        <f t="shared" si="577"/>
        <v>0</v>
      </c>
      <c r="DA111" s="67">
        <f t="shared" si="577"/>
        <v>0</v>
      </c>
      <c r="DB111" s="67">
        <f t="shared" si="577"/>
        <v>0</v>
      </c>
      <c r="DC111" s="67">
        <f t="shared" si="577"/>
        <v>0</v>
      </c>
      <c r="DD111" s="67">
        <f t="shared" si="577"/>
        <v>0</v>
      </c>
    </row>
    <row r="112" spans="1:108" ht="13" hidden="1" customHeight="1">
      <c r="B112" s="62" t="s">
        <v>621</v>
      </c>
      <c r="C112" s="67">
        <f t="shared" ref="C112:U112" si="578">C29*C14</f>
        <v>0</v>
      </c>
      <c r="D112" s="67">
        <f t="shared" si="578"/>
        <v>0</v>
      </c>
      <c r="E112" s="67">
        <f t="shared" si="578"/>
        <v>0</v>
      </c>
      <c r="F112" s="67">
        <f t="shared" ref="F112" si="579">F29*F14</f>
        <v>0</v>
      </c>
      <c r="G112" s="67">
        <f t="shared" si="578"/>
        <v>0</v>
      </c>
      <c r="H112" s="67">
        <f t="shared" si="578"/>
        <v>0</v>
      </c>
      <c r="I112" s="67">
        <f t="shared" ref="I112" si="580">I29*I14</f>
        <v>0</v>
      </c>
      <c r="J112" s="67">
        <f t="shared" si="578"/>
        <v>0</v>
      </c>
      <c r="K112" s="67">
        <f t="shared" si="578"/>
        <v>0</v>
      </c>
      <c r="L112" s="67">
        <f t="shared" si="578"/>
        <v>0</v>
      </c>
      <c r="M112" s="67">
        <f t="shared" si="578"/>
        <v>0</v>
      </c>
      <c r="N112" s="67">
        <f t="shared" si="578"/>
        <v>0</v>
      </c>
      <c r="O112" s="67">
        <f t="shared" si="578"/>
        <v>0</v>
      </c>
      <c r="P112" s="67">
        <f t="shared" si="578"/>
        <v>0</v>
      </c>
      <c r="Q112" s="67">
        <f t="shared" si="578"/>
        <v>0</v>
      </c>
      <c r="R112" s="67">
        <f t="shared" si="578"/>
        <v>0</v>
      </c>
      <c r="S112" s="67">
        <f t="shared" si="578"/>
        <v>0</v>
      </c>
      <c r="T112" s="67">
        <f t="shared" si="578"/>
        <v>0</v>
      </c>
      <c r="U112" s="67">
        <f t="shared" si="578"/>
        <v>0</v>
      </c>
      <c r="X112" s="67">
        <f t="shared" ref="X112:AJ112" si="581">X29*X14</f>
        <v>0</v>
      </c>
      <c r="Y112" s="67">
        <f t="shared" ref="Y112" si="582">Y29*Y14</f>
        <v>0</v>
      </c>
      <c r="Z112" s="67">
        <f t="shared" si="581"/>
        <v>0</v>
      </c>
      <c r="AA112" s="67">
        <f t="shared" si="581"/>
        <v>0</v>
      </c>
      <c r="AB112" s="67">
        <f t="shared" si="581"/>
        <v>0</v>
      </c>
      <c r="AC112" s="67">
        <f t="shared" si="581"/>
        <v>0</v>
      </c>
      <c r="AD112" s="67">
        <f t="shared" si="581"/>
        <v>0</v>
      </c>
      <c r="AE112" s="67">
        <f t="shared" ref="AE112" si="583">AE29*AE14</f>
        <v>0</v>
      </c>
      <c r="AF112" s="67">
        <f t="shared" si="581"/>
        <v>0</v>
      </c>
      <c r="AG112" s="67">
        <f t="shared" si="581"/>
        <v>0</v>
      </c>
      <c r="AH112" s="67">
        <f t="shared" si="581"/>
        <v>0</v>
      </c>
      <c r="AI112" s="67">
        <f t="shared" si="581"/>
        <v>0</v>
      </c>
      <c r="AJ112" s="67">
        <f t="shared" si="581"/>
        <v>0</v>
      </c>
      <c r="AK112" s="67">
        <f t="shared" ref="AK112:AN112" si="584">AK29*AK14</f>
        <v>0</v>
      </c>
      <c r="AL112" s="67">
        <f t="shared" si="584"/>
        <v>0</v>
      </c>
      <c r="AM112" s="67">
        <f t="shared" si="584"/>
        <v>0</v>
      </c>
      <c r="AN112" s="67">
        <f t="shared" si="584"/>
        <v>0</v>
      </c>
      <c r="AO112" s="67">
        <f t="shared" ref="AO112:AY112" si="585">AO29*AO14</f>
        <v>0</v>
      </c>
      <c r="AP112" s="67">
        <f t="shared" si="585"/>
        <v>0</v>
      </c>
      <c r="AQ112" s="67">
        <f t="shared" si="585"/>
        <v>0</v>
      </c>
      <c r="AR112" s="67">
        <f t="shared" si="585"/>
        <v>0</v>
      </c>
      <c r="AS112" s="67">
        <f t="shared" si="585"/>
        <v>0</v>
      </c>
      <c r="AT112" s="67">
        <f t="shared" si="585"/>
        <v>0</v>
      </c>
      <c r="AU112" s="67">
        <f t="shared" si="585"/>
        <v>0</v>
      </c>
      <c r="AV112" s="67">
        <f t="shared" si="585"/>
        <v>0</v>
      </c>
      <c r="AW112" s="67">
        <f t="shared" si="585"/>
        <v>0</v>
      </c>
      <c r="AX112" s="67">
        <f t="shared" si="585"/>
        <v>0</v>
      </c>
      <c r="AY112" s="67">
        <f t="shared" si="585"/>
        <v>0</v>
      </c>
      <c r="BB112" s="67">
        <f t="shared" ref="BB112:BL112" si="586">BB29*BB14</f>
        <v>0</v>
      </c>
      <c r="BC112" s="67">
        <f t="shared" ref="BC112" si="587">BC29*BC14</f>
        <v>0</v>
      </c>
      <c r="BD112" s="67">
        <f t="shared" si="586"/>
        <v>0</v>
      </c>
      <c r="BE112" s="67">
        <f t="shared" si="586"/>
        <v>0</v>
      </c>
      <c r="BF112" s="67">
        <f t="shared" si="586"/>
        <v>0</v>
      </c>
      <c r="BG112" s="67">
        <f t="shared" si="586"/>
        <v>0</v>
      </c>
      <c r="BH112" s="67">
        <f t="shared" si="586"/>
        <v>0</v>
      </c>
      <c r="BI112" s="67">
        <f t="shared" si="586"/>
        <v>0</v>
      </c>
      <c r="BJ112" s="67">
        <f t="shared" si="586"/>
        <v>0</v>
      </c>
      <c r="BK112" s="67">
        <f t="shared" si="586"/>
        <v>0</v>
      </c>
      <c r="BL112" s="67">
        <f t="shared" si="586"/>
        <v>0</v>
      </c>
      <c r="BO112" s="67">
        <f t="shared" ref="BO112:BZ112" si="588">BO29*BO14</f>
        <v>0</v>
      </c>
      <c r="BP112" s="67">
        <f t="shared" si="588"/>
        <v>0</v>
      </c>
      <c r="BQ112" s="67">
        <f t="shared" si="588"/>
        <v>0</v>
      </c>
      <c r="BR112" s="67">
        <f t="shared" si="588"/>
        <v>0</v>
      </c>
      <c r="BS112" s="67">
        <f t="shared" si="588"/>
        <v>0</v>
      </c>
      <c r="BT112" s="67">
        <f t="shared" si="588"/>
        <v>0</v>
      </c>
      <c r="BU112" s="67">
        <f t="shared" si="588"/>
        <v>0</v>
      </c>
      <c r="BV112" s="67">
        <f t="shared" si="588"/>
        <v>0</v>
      </c>
      <c r="BW112" s="67">
        <f t="shared" si="588"/>
        <v>0</v>
      </c>
      <c r="BX112" s="67">
        <f t="shared" si="588"/>
        <v>0</v>
      </c>
      <c r="BY112" s="67">
        <f t="shared" si="588"/>
        <v>0</v>
      </c>
      <c r="BZ112" s="67">
        <f t="shared" si="588"/>
        <v>0</v>
      </c>
    </row>
    <row r="113" spans="1:108" ht="13" hidden="1" customHeight="1">
      <c r="B113" s="62" t="s">
        <v>678</v>
      </c>
      <c r="C113" s="67">
        <f>SUM(C97:C112)</f>
        <v>0</v>
      </c>
      <c r="D113" s="67">
        <f>SUM(D97:D112)</f>
        <v>0</v>
      </c>
      <c r="E113" s="67">
        <f t="shared" ref="E113:BB113" si="589">SUM(E96:E112)</f>
        <v>0</v>
      </c>
      <c r="F113" s="67">
        <f t="shared" ref="F113" si="590">SUM(F96:F112)</f>
        <v>0</v>
      </c>
      <c r="G113" s="67">
        <f t="shared" si="589"/>
        <v>0</v>
      </c>
      <c r="H113" s="67">
        <f t="shared" si="589"/>
        <v>0</v>
      </c>
      <c r="I113" s="67">
        <f t="shared" ref="I113" si="591">SUM(I96:I112)</f>
        <v>0</v>
      </c>
      <c r="J113" s="67">
        <f t="shared" si="589"/>
        <v>0</v>
      </c>
      <c r="K113" s="67">
        <f t="shared" si="589"/>
        <v>0</v>
      </c>
      <c r="L113" s="67">
        <f t="shared" si="589"/>
        <v>0</v>
      </c>
      <c r="M113" s="67">
        <f t="shared" si="589"/>
        <v>0</v>
      </c>
      <c r="N113" s="67">
        <f t="shared" si="589"/>
        <v>0</v>
      </c>
      <c r="O113" s="67">
        <f t="shared" si="589"/>
        <v>0</v>
      </c>
      <c r="P113" s="67">
        <f t="shared" si="589"/>
        <v>0</v>
      </c>
      <c r="Q113" s="67">
        <f t="shared" si="589"/>
        <v>0</v>
      </c>
      <c r="R113" s="67">
        <f t="shared" si="589"/>
        <v>0</v>
      </c>
      <c r="S113" s="67">
        <f t="shared" si="589"/>
        <v>0</v>
      </c>
      <c r="T113" s="67">
        <f t="shared" si="589"/>
        <v>0</v>
      </c>
      <c r="U113" s="67">
        <f t="shared" si="589"/>
        <v>0</v>
      </c>
      <c r="V113" s="67">
        <f t="shared" si="589"/>
        <v>0</v>
      </c>
      <c r="W113" s="67">
        <f t="shared" si="589"/>
        <v>0</v>
      </c>
      <c r="X113" s="67">
        <f t="shared" si="589"/>
        <v>0</v>
      </c>
      <c r="Y113" s="67">
        <f t="shared" ref="Y113" si="592">SUM(Y96:Y112)</f>
        <v>0</v>
      </c>
      <c r="Z113" s="67">
        <f t="shared" si="589"/>
        <v>0</v>
      </c>
      <c r="AA113" s="67">
        <f t="shared" si="589"/>
        <v>0</v>
      </c>
      <c r="AB113" s="67">
        <f t="shared" si="589"/>
        <v>0</v>
      </c>
      <c r="AC113" s="67">
        <f t="shared" si="589"/>
        <v>0</v>
      </c>
      <c r="AD113" s="67">
        <f t="shared" si="589"/>
        <v>0</v>
      </c>
      <c r="AE113" s="67">
        <f t="shared" ref="AE113" si="593">SUM(AE96:AE112)</f>
        <v>0</v>
      </c>
      <c r="AF113" s="67">
        <f t="shared" si="589"/>
        <v>0</v>
      </c>
      <c r="AG113" s="67">
        <f t="shared" si="589"/>
        <v>0</v>
      </c>
      <c r="AH113" s="67">
        <f t="shared" si="589"/>
        <v>0</v>
      </c>
      <c r="AI113" s="67">
        <f t="shared" si="589"/>
        <v>0</v>
      </c>
      <c r="AJ113" s="67">
        <f t="shared" si="589"/>
        <v>0</v>
      </c>
      <c r="AK113" s="67">
        <f t="shared" ref="AK113:AN113" si="594">SUM(AK96:AK112)</f>
        <v>0</v>
      </c>
      <c r="AL113" s="67">
        <f t="shared" si="594"/>
        <v>0</v>
      </c>
      <c r="AM113" s="67">
        <f t="shared" si="594"/>
        <v>0</v>
      </c>
      <c r="AN113" s="67">
        <f t="shared" si="594"/>
        <v>0</v>
      </c>
      <c r="AO113" s="67">
        <f t="shared" ref="AO113:AY113" si="595">SUM(AO96:AO112)</f>
        <v>0</v>
      </c>
      <c r="AP113" s="67">
        <f t="shared" si="595"/>
        <v>0</v>
      </c>
      <c r="AQ113" s="67">
        <f t="shared" si="595"/>
        <v>0</v>
      </c>
      <c r="AR113" s="67">
        <f t="shared" si="595"/>
        <v>0</v>
      </c>
      <c r="AS113" s="67">
        <f t="shared" si="595"/>
        <v>0</v>
      </c>
      <c r="AT113" s="67">
        <f t="shared" si="595"/>
        <v>0</v>
      </c>
      <c r="AU113" s="67">
        <f t="shared" si="595"/>
        <v>0</v>
      </c>
      <c r="AV113" s="67">
        <f t="shared" si="595"/>
        <v>0</v>
      </c>
      <c r="AW113" s="67">
        <f t="shared" si="595"/>
        <v>0</v>
      </c>
      <c r="AX113" s="67">
        <f t="shared" si="595"/>
        <v>0</v>
      </c>
      <c r="AY113" s="67">
        <f t="shared" si="595"/>
        <v>0</v>
      </c>
      <c r="AZ113" s="67">
        <f t="shared" si="589"/>
        <v>0</v>
      </c>
      <c r="BA113" s="67">
        <f t="shared" si="589"/>
        <v>0</v>
      </c>
      <c r="BB113" s="67">
        <f t="shared" si="589"/>
        <v>0</v>
      </c>
      <c r="BC113" s="67">
        <f t="shared" ref="BC113" si="596">SUM(BC96:BC112)</f>
        <v>0</v>
      </c>
      <c r="BD113" s="67">
        <f t="shared" ref="BD113:CM113" si="597">SUM(BD96:BD112)</f>
        <v>0</v>
      </c>
      <c r="BE113" s="67">
        <f t="shared" si="597"/>
        <v>0</v>
      </c>
      <c r="BF113" s="67">
        <f t="shared" si="597"/>
        <v>0</v>
      </c>
      <c r="BG113" s="67">
        <f t="shared" si="597"/>
        <v>0</v>
      </c>
      <c r="BH113" s="67">
        <f t="shared" si="597"/>
        <v>0</v>
      </c>
      <c r="BI113" s="67">
        <f t="shared" si="597"/>
        <v>0</v>
      </c>
      <c r="BJ113" s="67">
        <f t="shared" si="597"/>
        <v>0</v>
      </c>
      <c r="BK113" s="67">
        <f t="shared" si="597"/>
        <v>0</v>
      </c>
      <c r="BL113" s="67">
        <f t="shared" si="597"/>
        <v>0</v>
      </c>
      <c r="BM113" s="67">
        <f t="shared" si="597"/>
        <v>0</v>
      </c>
      <c r="BN113" s="67">
        <f t="shared" si="597"/>
        <v>0</v>
      </c>
      <c r="BO113" s="67">
        <f t="shared" si="597"/>
        <v>0</v>
      </c>
      <c r="BP113" s="67">
        <f t="shared" si="597"/>
        <v>0</v>
      </c>
      <c r="BQ113" s="67">
        <f t="shared" si="597"/>
        <v>0</v>
      </c>
      <c r="BR113" s="67">
        <f t="shared" si="597"/>
        <v>0</v>
      </c>
      <c r="BS113" s="67">
        <f t="shared" si="597"/>
        <v>0</v>
      </c>
      <c r="BT113" s="67">
        <f t="shared" si="597"/>
        <v>0</v>
      </c>
      <c r="BU113" s="67">
        <f t="shared" si="597"/>
        <v>0</v>
      </c>
      <c r="BV113" s="67">
        <f t="shared" si="597"/>
        <v>0</v>
      </c>
      <c r="BW113" s="67">
        <f t="shared" si="597"/>
        <v>0</v>
      </c>
      <c r="BX113" s="67">
        <f t="shared" si="597"/>
        <v>0</v>
      </c>
      <c r="BY113" s="67">
        <f t="shared" si="597"/>
        <v>0</v>
      </c>
      <c r="BZ113" s="67">
        <f t="shared" si="597"/>
        <v>0</v>
      </c>
      <c r="CA113" s="67">
        <f t="shared" si="597"/>
        <v>0</v>
      </c>
      <c r="CB113" s="67">
        <f t="shared" si="597"/>
        <v>0</v>
      </c>
      <c r="CC113" s="67">
        <f t="shared" si="597"/>
        <v>0</v>
      </c>
      <c r="CD113" s="67">
        <f t="shared" ref="CD113" si="598">SUM(CD96:CD112)</f>
        <v>0</v>
      </c>
      <c r="CE113" s="67">
        <f t="shared" si="597"/>
        <v>0</v>
      </c>
      <c r="CF113" s="67">
        <f t="shared" ref="CF113:CG113" si="599">SUM(CF96:CF112)</f>
        <v>0</v>
      </c>
      <c r="CG113" s="67">
        <f t="shared" si="599"/>
        <v>0</v>
      </c>
      <c r="CH113" s="67">
        <f t="shared" si="597"/>
        <v>0</v>
      </c>
      <c r="CI113" s="67">
        <f t="shared" si="597"/>
        <v>0</v>
      </c>
      <c r="CJ113" s="67">
        <f t="shared" si="597"/>
        <v>0</v>
      </c>
      <c r="CK113" s="67">
        <f t="shared" si="597"/>
        <v>0</v>
      </c>
      <c r="CL113" s="67">
        <f t="shared" si="597"/>
        <v>0</v>
      </c>
      <c r="CM113" s="67">
        <f t="shared" si="597"/>
        <v>0</v>
      </c>
      <c r="CN113" s="67">
        <f t="shared" ref="CN113:DD113" si="600">SUM(CN96:CN112)</f>
        <v>0</v>
      </c>
      <c r="CO113" s="67">
        <f t="shared" si="600"/>
        <v>0</v>
      </c>
      <c r="CP113" s="67">
        <f t="shared" si="600"/>
        <v>0</v>
      </c>
      <c r="CQ113" s="67">
        <f t="shared" si="600"/>
        <v>0</v>
      </c>
      <c r="CR113" s="67">
        <f t="shared" si="600"/>
        <v>0</v>
      </c>
      <c r="CS113" s="67">
        <f t="shared" si="600"/>
        <v>0</v>
      </c>
      <c r="CT113" s="67">
        <f t="shared" si="600"/>
        <v>0</v>
      </c>
      <c r="CU113" s="67">
        <f t="shared" si="600"/>
        <v>0</v>
      </c>
      <c r="CV113" s="67">
        <f t="shared" si="600"/>
        <v>0</v>
      </c>
      <c r="CW113" s="67">
        <f t="shared" si="600"/>
        <v>0</v>
      </c>
      <c r="CX113" s="67">
        <f t="shared" si="600"/>
        <v>0</v>
      </c>
      <c r="CY113" s="67">
        <f t="shared" si="600"/>
        <v>0</v>
      </c>
      <c r="CZ113" s="67">
        <f t="shared" si="600"/>
        <v>0</v>
      </c>
      <c r="DA113" s="67">
        <f t="shared" si="600"/>
        <v>0</v>
      </c>
      <c r="DB113" s="67">
        <f t="shared" si="600"/>
        <v>0</v>
      </c>
      <c r="DC113" s="67">
        <f t="shared" si="600"/>
        <v>0</v>
      </c>
      <c r="DD113" s="67">
        <f t="shared" si="600"/>
        <v>0</v>
      </c>
    </row>
    <row r="114" spans="1:108" ht="13" hidden="1" customHeight="1">
      <c r="B114" s="62" t="s">
        <v>679</v>
      </c>
      <c r="C114" s="496">
        <f t="shared" ref="C114:AZ114" si="601">C54-C113</f>
        <v>0</v>
      </c>
      <c r="D114" s="496">
        <f t="shared" si="601"/>
        <v>0</v>
      </c>
      <c r="E114" s="496">
        <f t="shared" si="601"/>
        <v>0</v>
      </c>
      <c r="F114" s="496">
        <f t="shared" ref="F114" si="602">F54-F113</f>
        <v>0</v>
      </c>
      <c r="G114" s="496">
        <f t="shared" si="601"/>
        <v>0</v>
      </c>
      <c r="H114" s="496">
        <f t="shared" si="601"/>
        <v>0</v>
      </c>
      <c r="I114" s="496">
        <f t="shared" ref="I114" si="603">I54-I113</f>
        <v>0</v>
      </c>
      <c r="J114" s="496">
        <f t="shared" si="601"/>
        <v>0</v>
      </c>
      <c r="K114" s="496">
        <f t="shared" si="601"/>
        <v>0</v>
      </c>
      <c r="L114" s="496">
        <f t="shared" si="601"/>
        <v>0</v>
      </c>
      <c r="M114" s="496">
        <f t="shared" si="601"/>
        <v>0</v>
      </c>
      <c r="N114" s="496">
        <f t="shared" si="601"/>
        <v>0</v>
      </c>
      <c r="O114" s="496">
        <f t="shared" si="601"/>
        <v>0</v>
      </c>
      <c r="P114" s="496">
        <f t="shared" si="601"/>
        <v>0</v>
      </c>
      <c r="Q114" s="496">
        <f t="shared" si="601"/>
        <v>0</v>
      </c>
      <c r="R114" s="496">
        <f t="shared" si="601"/>
        <v>0</v>
      </c>
      <c r="S114" s="496">
        <f t="shared" si="601"/>
        <v>0</v>
      </c>
      <c r="T114" s="496">
        <f t="shared" si="601"/>
        <v>0</v>
      </c>
      <c r="U114" s="496">
        <f t="shared" si="601"/>
        <v>0</v>
      </c>
      <c r="V114" s="496">
        <f t="shared" si="601"/>
        <v>0</v>
      </c>
      <c r="W114" s="496">
        <f t="shared" si="601"/>
        <v>0</v>
      </c>
      <c r="X114" s="496">
        <f t="shared" si="601"/>
        <v>0</v>
      </c>
      <c r="Y114" s="496">
        <f t="shared" ref="Y114" si="604">Y54-Y113</f>
        <v>0</v>
      </c>
      <c r="Z114" s="496">
        <f t="shared" si="601"/>
        <v>0</v>
      </c>
      <c r="AA114" s="496">
        <f t="shared" si="601"/>
        <v>0</v>
      </c>
      <c r="AB114" s="496">
        <f t="shared" si="601"/>
        <v>0</v>
      </c>
      <c r="AC114" s="496">
        <f t="shared" si="601"/>
        <v>0</v>
      </c>
      <c r="AD114" s="496">
        <f t="shared" si="601"/>
        <v>0</v>
      </c>
      <c r="AE114" s="496">
        <f t="shared" ref="AE114" si="605">AE54-AE113</f>
        <v>0</v>
      </c>
      <c r="AF114" s="496">
        <f t="shared" si="601"/>
        <v>0</v>
      </c>
      <c r="AG114" s="496">
        <f t="shared" si="601"/>
        <v>0</v>
      </c>
      <c r="AH114" s="496">
        <f t="shared" si="601"/>
        <v>0</v>
      </c>
      <c r="AI114" s="496">
        <f t="shared" si="601"/>
        <v>0</v>
      </c>
      <c r="AJ114" s="496">
        <f t="shared" si="601"/>
        <v>0</v>
      </c>
      <c r="AK114" s="496">
        <f t="shared" ref="AK114:AN114" si="606">AK54-AK113</f>
        <v>0</v>
      </c>
      <c r="AL114" s="496">
        <f t="shared" si="606"/>
        <v>0</v>
      </c>
      <c r="AM114" s="496">
        <f t="shared" si="606"/>
        <v>0</v>
      </c>
      <c r="AN114" s="496">
        <f t="shared" si="606"/>
        <v>0</v>
      </c>
      <c r="AO114" s="496">
        <f t="shared" ref="AO114:AY114" si="607">AO54-AO113</f>
        <v>0</v>
      </c>
      <c r="AP114" s="496">
        <f t="shared" si="607"/>
        <v>0</v>
      </c>
      <c r="AQ114" s="496">
        <f t="shared" si="607"/>
        <v>0</v>
      </c>
      <c r="AR114" s="496">
        <f t="shared" si="607"/>
        <v>0</v>
      </c>
      <c r="AS114" s="496">
        <f t="shared" si="607"/>
        <v>0</v>
      </c>
      <c r="AT114" s="496">
        <f t="shared" si="607"/>
        <v>0</v>
      </c>
      <c r="AU114" s="496">
        <f t="shared" si="607"/>
        <v>0</v>
      </c>
      <c r="AV114" s="496">
        <f t="shared" si="607"/>
        <v>0</v>
      </c>
      <c r="AW114" s="496">
        <f t="shared" si="607"/>
        <v>0</v>
      </c>
      <c r="AX114" s="496">
        <f t="shared" si="607"/>
        <v>0</v>
      </c>
      <c r="AY114" s="496">
        <f t="shared" si="607"/>
        <v>0</v>
      </c>
      <c r="AZ114" s="496">
        <f t="shared" si="601"/>
        <v>0</v>
      </c>
      <c r="BA114" s="496">
        <f t="shared" ref="BA114:CK114" si="608">BA54-BA113</f>
        <v>0</v>
      </c>
      <c r="BB114" s="496">
        <f t="shared" si="608"/>
        <v>0</v>
      </c>
      <c r="BC114" s="496">
        <f t="shared" ref="BC114" si="609">BC54-BC113</f>
        <v>0</v>
      </c>
      <c r="BD114" s="496">
        <f t="shared" si="608"/>
        <v>0</v>
      </c>
      <c r="BE114" s="496">
        <f t="shared" si="608"/>
        <v>0</v>
      </c>
      <c r="BF114" s="496">
        <f t="shared" si="608"/>
        <v>0</v>
      </c>
      <c r="BG114" s="496">
        <f t="shared" si="608"/>
        <v>0</v>
      </c>
      <c r="BH114" s="496">
        <f t="shared" si="608"/>
        <v>0</v>
      </c>
      <c r="BI114" s="496">
        <f t="shared" si="608"/>
        <v>0</v>
      </c>
      <c r="BJ114" s="496">
        <f t="shared" si="608"/>
        <v>0</v>
      </c>
      <c r="BK114" s="496">
        <f t="shared" si="608"/>
        <v>0</v>
      </c>
      <c r="BL114" s="496">
        <f t="shared" si="608"/>
        <v>0</v>
      </c>
      <c r="BM114" s="496">
        <f t="shared" si="608"/>
        <v>0</v>
      </c>
      <c r="BN114" s="496">
        <f t="shared" si="608"/>
        <v>0</v>
      </c>
      <c r="BO114" s="496">
        <f t="shared" si="608"/>
        <v>0</v>
      </c>
      <c r="BP114" s="496">
        <f t="shared" si="608"/>
        <v>0</v>
      </c>
      <c r="BQ114" s="496">
        <f t="shared" si="608"/>
        <v>0</v>
      </c>
      <c r="BR114" s="496">
        <f t="shared" si="608"/>
        <v>0</v>
      </c>
      <c r="BS114" s="496">
        <f t="shared" si="608"/>
        <v>0</v>
      </c>
      <c r="BT114" s="496">
        <f t="shared" si="608"/>
        <v>0</v>
      </c>
      <c r="BU114" s="496">
        <f t="shared" si="608"/>
        <v>0</v>
      </c>
      <c r="BV114" s="496">
        <f t="shared" si="608"/>
        <v>0</v>
      </c>
      <c r="BW114" s="496">
        <f t="shared" si="608"/>
        <v>0</v>
      </c>
      <c r="BX114" s="496">
        <f t="shared" si="608"/>
        <v>0</v>
      </c>
      <c r="BY114" s="496">
        <f t="shared" si="608"/>
        <v>0</v>
      </c>
      <c r="BZ114" s="496">
        <f t="shared" si="608"/>
        <v>0</v>
      </c>
      <c r="CA114" s="496">
        <f t="shared" si="608"/>
        <v>0</v>
      </c>
      <c r="CB114" s="496">
        <f t="shared" si="608"/>
        <v>0</v>
      </c>
      <c r="CC114" s="496">
        <f t="shared" si="608"/>
        <v>0</v>
      </c>
      <c r="CD114" s="496">
        <f t="shared" ref="CD114" si="610">CD54-CD113</f>
        <v>0</v>
      </c>
      <c r="CE114" s="496">
        <f t="shared" si="608"/>
        <v>0</v>
      </c>
      <c r="CF114" s="496">
        <f t="shared" ref="CF114:CG114" si="611">CF54-CF113</f>
        <v>0</v>
      </c>
      <c r="CG114" s="496">
        <f t="shared" si="611"/>
        <v>0</v>
      </c>
      <c r="CH114" s="496">
        <f t="shared" si="608"/>
        <v>0</v>
      </c>
      <c r="CI114" s="496">
        <f t="shared" si="608"/>
        <v>0</v>
      </c>
      <c r="CJ114" s="496">
        <f t="shared" si="608"/>
        <v>0</v>
      </c>
      <c r="CK114" s="496">
        <f t="shared" si="608"/>
        <v>0</v>
      </c>
      <c r="CL114" s="496">
        <f t="shared" ref="CL114:DD114" si="612">CL54-CL113</f>
        <v>0</v>
      </c>
      <c r="CM114" s="496">
        <f t="shared" si="612"/>
        <v>0</v>
      </c>
      <c r="CN114" s="496">
        <f t="shared" si="612"/>
        <v>0</v>
      </c>
      <c r="CO114" s="496">
        <f t="shared" si="612"/>
        <v>0</v>
      </c>
      <c r="CP114" s="496">
        <f t="shared" si="612"/>
        <v>0</v>
      </c>
      <c r="CQ114" s="496">
        <f t="shared" si="612"/>
        <v>0</v>
      </c>
      <c r="CR114" s="496">
        <f t="shared" si="612"/>
        <v>0</v>
      </c>
      <c r="CS114" s="496">
        <f t="shared" si="612"/>
        <v>0</v>
      </c>
      <c r="CT114" s="496">
        <f t="shared" si="612"/>
        <v>0</v>
      </c>
      <c r="CU114" s="496">
        <f t="shared" si="612"/>
        <v>0</v>
      </c>
      <c r="CV114" s="496">
        <f t="shared" si="612"/>
        <v>0</v>
      </c>
      <c r="CW114" s="496">
        <f t="shared" si="612"/>
        <v>0</v>
      </c>
      <c r="CX114" s="496">
        <f t="shared" si="612"/>
        <v>0</v>
      </c>
      <c r="CY114" s="496">
        <f t="shared" si="612"/>
        <v>0</v>
      </c>
      <c r="CZ114" s="496">
        <f t="shared" si="612"/>
        <v>0</v>
      </c>
      <c r="DA114" s="496">
        <f t="shared" si="612"/>
        <v>0</v>
      </c>
      <c r="DB114" s="496">
        <f t="shared" si="612"/>
        <v>0</v>
      </c>
      <c r="DC114" s="496">
        <f t="shared" si="612"/>
        <v>0</v>
      </c>
      <c r="DD114" s="496">
        <f t="shared" si="612"/>
        <v>0</v>
      </c>
    </row>
    <row r="115" spans="1:108" ht="13" hidden="1" customHeight="1"/>
    <row r="116" spans="1:108" ht="13" hidden="1" customHeight="1"/>
    <row r="117" spans="1:108" ht="13" customHeight="1"/>
    <row r="118" spans="1:108" ht="13" customHeight="1"/>
    <row r="119" spans="1:108" ht="13" customHeight="1"/>
    <row r="120" spans="1:108" s="2102" customFormat="1" ht="13" customHeight="1">
      <c r="A120" s="2101"/>
      <c r="C120" s="2103"/>
      <c r="D120" s="2103"/>
      <c r="E120" s="2103"/>
      <c r="F120" s="2103"/>
      <c r="G120" s="2103"/>
      <c r="H120" s="2103"/>
      <c r="I120" s="2103"/>
      <c r="J120" s="2103"/>
      <c r="K120" s="2103"/>
      <c r="L120" s="2103"/>
      <c r="M120" s="2103"/>
      <c r="N120" s="2103"/>
      <c r="O120" s="2103"/>
      <c r="P120" s="2103"/>
      <c r="Q120" s="2103"/>
      <c r="R120" s="2103"/>
      <c r="S120" s="2103"/>
      <c r="T120" s="2103"/>
      <c r="U120" s="2103"/>
      <c r="V120" s="2103"/>
      <c r="W120" s="2103"/>
      <c r="X120" s="2103">
        <f>IF(X54&gt;0,X14*X24*0.85/12,0)</f>
        <v>0</v>
      </c>
      <c r="Y120" s="2103">
        <f>IF(Y54&gt;0,Y14*Y24*0.85/12,0)</f>
        <v>0</v>
      </c>
      <c r="Z120" s="2103">
        <f>IF(Z54&gt;0,Z14*Z24*0.85/Z14,0)</f>
        <v>0</v>
      </c>
      <c r="AA120" s="2103">
        <f t="shared" ref="AA120:AQ120" si="613">IF(AA54&gt;0,AA14*AA24/12,0)</f>
        <v>0</v>
      </c>
      <c r="AB120" s="2103">
        <f t="shared" si="613"/>
        <v>0</v>
      </c>
      <c r="AC120" s="2103">
        <f t="shared" si="613"/>
        <v>0</v>
      </c>
      <c r="AD120" s="2103">
        <f t="shared" si="613"/>
        <v>0</v>
      </c>
      <c r="AE120" s="2103">
        <f t="shared" si="613"/>
        <v>0</v>
      </c>
      <c r="AF120" s="2103">
        <f t="shared" si="613"/>
        <v>0</v>
      </c>
      <c r="AG120" s="2103">
        <f t="shared" si="613"/>
        <v>0</v>
      </c>
      <c r="AH120" s="2103">
        <f t="shared" si="613"/>
        <v>0</v>
      </c>
      <c r="AI120" s="2103">
        <f t="shared" si="613"/>
        <v>0</v>
      </c>
      <c r="AJ120" s="2103">
        <f t="shared" si="613"/>
        <v>0</v>
      </c>
      <c r="AK120" s="2103">
        <f t="shared" si="613"/>
        <v>0</v>
      </c>
      <c r="AL120" s="2103">
        <f t="shared" si="613"/>
        <v>0</v>
      </c>
      <c r="AM120" s="2103">
        <f t="shared" si="613"/>
        <v>0</v>
      </c>
      <c r="AN120" s="2103">
        <f t="shared" si="613"/>
        <v>0</v>
      </c>
      <c r="AO120" s="2103">
        <f t="shared" si="613"/>
        <v>0</v>
      </c>
      <c r="AP120" s="2103">
        <f t="shared" si="613"/>
        <v>0</v>
      </c>
      <c r="AQ120" s="2103">
        <f t="shared" si="613"/>
        <v>0</v>
      </c>
      <c r="AR120" s="2103">
        <f>IF(AR54&gt;0,AR14*AR24/12*0.43,0)</f>
        <v>0</v>
      </c>
      <c r="AS120" s="2103">
        <f>IF(AS54&gt;0,AS14*AS24/12*0.43,0)</f>
        <v>0</v>
      </c>
      <c r="AT120" s="2103">
        <f>IF(AT54&gt;0,AT14*AT24/12*0.43,0)</f>
        <v>0</v>
      </c>
      <c r="AU120" s="2103">
        <f>IF(AU54&gt;0,AU14*AU24/12*0.43,0)</f>
        <v>0</v>
      </c>
      <c r="AV120" s="2103">
        <f>IF(AV54&gt;0,AV14*AV24/12*0.24,0)</f>
        <v>0</v>
      </c>
      <c r="AW120" s="2103">
        <f>IF(AW54&gt;0,AW14*AW24/12*0.24,0)</f>
        <v>0</v>
      </c>
      <c r="AX120" s="2103">
        <f>IF(AX54&gt;0,AX14*AX24/12*0.24,0)</f>
        <v>0</v>
      </c>
      <c r="AY120" s="2103">
        <f>IF(AY54&gt;0,AY14*AY24/12*0.24,0)</f>
        <v>0</v>
      </c>
      <c r="AZ120" s="2103">
        <f>IF(AZ54&gt;0,(AZ10*AZ14)/1924,0)</f>
        <v>0</v>
      </c>
      <c r="BA120" s="2103">
        <f>IF(BA54&gt;0,(BA10*BA14)/1924,0)</f>
        <v>0</v>
      </c>
      <c r="BB120" s="2103"/>
      <c r="BC120" s="2103"/>
      <c r="BD120" s="2103"/>
      <c r="BE120" s="2103"/>
      <c r="BF120" s="2103"/>
      <c r="BG120" s="2103"/>
      <c r="BH120" s="2103"/>
      <c r="BI120" s="2103"/>
      <c r="BJ120" s="2103"/>
      <c r="BK120" s="2103"/>
      <c r="BL120" s="2103"/>
      <c r="BM120" s="2103"/>
      <c r="BN120" s="2103"/>
      <c r="BO120" s="2103"/>
      <c r="BP120" s="2103"/>
      <c r="BQ120" s="2103"/>
      <c r="BR120" s="2103"/>
      <c r="BS120" s="2103"/>
      <c r="BT120" s="2103"/>
      <c r="BU120" s="2103"/>
      <c r="BV120" s="2103"/>
      <c r="BW120" s="2103"/>
      <c r="BX120" s="2103"/>
      <c r="BY120" s="2103"/>
      <c r="BZ120" s="2103"/>
      <c r="CA120" s="2103"/>
      <c r="CB120" s="2103"/>
      <c r="CC120" s="2103"/>
      <c r="CD120" s="2103"/>
      <c r="CE120" s="2103"/>
      <c r="CF120" s="2103"/>
      <c r="CG120" s="2103"/>
      <c r="CH120" s="2103"/>
      <c r="CI120" s="2103"/>
      <c r="CJ120" s="2103"/>
      <c r="CK120" s="2103"/>
      <c r="CL120" s="2103"/>
      <c r="CM120" s="2103"/>
      <c r="CN120" s="2103"/>
      <c r="CO120" s="2103"/>
      <c r="CP120" s="2103"/>
      <c r="CQ120" s="2103"/>
      <c r="CR120" s="2103"/>
      <c r="CS120" s="2103"/>
      <c r="CT120" s="2103"/>
      <c r="CU120" s="2103"/>
      <c r="CV120" s="2103"/>
      <c r="CW120" s="2103"/>
      <c r="CX120" s="2103"/>
      <c r="CY120" s="2103"/>
      <c r="CZ120" s="2103"/>
      <c r="DA120" s="2103"/>
      <c r="DB120" s="2103"/>
      <c r="DC120" s="2103"/>
      <c r="DD120" s="2103"/>
    </row>
    <row r="121" spans="1:108" ht="13" customHeight="1"/>
    <row r="122" spans="1:108" ht="13" customHeight="1"/>
    <row r="123" spans="1:108" ht="13" customHeight="1"/>
    <row r="124" spans="1:108" ht="13" customHeight="1"/>
    <row r="125" spans="1:108" ht="13" customHeight="1"/>
    <row r="126" spans="1:108" ht="13" customHeight="1"/>
    <row r="127" spans="1:108" ht="13" customHeight="1"/>
    <row r="128" spans="1:108" ht="13" customHeight="1"/>
    <row r="129" ht="13" customHeight="1"/>
    <row r="130" ht="13" customHeight="1"/>
    <row r="131" ht="13" customHeight="1"/>
    <row r="132" ht="13" customHeight="1"/>
    <row r="133" ht="13" customHeight="1"/>
    <row r="134" ht="13" customHeight="1"/>
    <row r="135" ht="13" customHeight="1"/>
    <row r="136" ht="13" customHeight="1"/>
    <row r="137" ht="13" customHeight="1"/>
    <row r="138" ht="13" customHeight="1"/>
    <row r="139" ht="13" customHeight="1"/>
    <row r="140" ht="13" customHeight="1"/>
    <row r="141" ht="13" customHeight="1"/>
    <row r="142" ht="13" customHeight="1"/>
    <row r="143" ht="13" customHeight="1"/>
    <row r="144" ht="13" customHeight="1"/>
    <row r="145" ht="13" customHeight="1"/>
    <row r="146" ht="13" customHeight="1"/>
    <row r="147" ht="13" customHeight="1"/>
    <row r="148" ht="13" customHeight="1"/>
    <row r="149" ht="13" customHeight="1"/>
    <row r="150" ht="13" customHeight="1"/>
    <row r="151" ht="13" customHeight="1"/>
    <row r="152" ht="13" customHeight="1"/>
    <row r="153" ht="13" customHeight="1"/>
    <row r="154" ht="13" customHeight="1"/>
    <row r="155" ht="13" customHeight="1"/>
    <row r="156" ht="13" customHeight="1"/>
    <row r="157" ht="13" customHeight="1"/>
    <row r="158" ht="13" customHeight="1"/>
    <row r="159" ht="13" customHeight="1"/>
    <row r="160" ht="13" customHeight="1"/>
    <row r="161" ht="13" customHeight="1"/>
    <row r="162" ht="13" customHeight="1"/>
    <row r="163" ht="13" customHeight="1"/>
    <row r="164" ht="13" customHeight="1"/>
    <row r="165" ht="13" customHeight="1"/>
    <row r="166" ht="13" customHeight="1"/>
    <row r="167" ht="13" customHeight="1"/>
    <row r="168" ht="13" customHeight="1"/>
    <row r="169" ht="13" customHeight="1"/>
    <row r="170" ht="13" customHeight="1"/>
    <row r="171" ht="13" customHeight="1"/>
    <row r="172" ht="13" customHeight="1"/>
    <row r="173" ht="13" customHeight="1"/>
    <row r="174" ht="13" customHeight="1"/>
    <row r="175" ht="13" customHeight="1"/>
    <row r="176" ht="13" customHeight="1"/>
    <row r="177" ht="13" customHeight="1"/>
    <row r="178" ht="13" customHeight="1"/>
    <row r="179" ht="13" customHeight="1"/>
    <row r="180" ht="13" customHeight="1"/>
    <row r="181" ht="13" customHeight="1"/>
    <row r="182" ht="13" customHeight="1"/>
    <row r="183" ht="13" customHeight="1"/>
    <row r="184" ht="13" customHeight="1"/>
    <row r="185" ht="13" customHeight="1"/>
    <row r="186" ht="13" customHeight="1"/>
    <row r="187" ht="13" customHeight="1"/>
    <row r="188" ht="13" customHeight="1"/>
    <row r="189" ht="13" customHeight="1"/>
    <row r="190" ht="13" customHeight="1"/>
    <row r="191" ht="13" customHeight="1"/>
    <row r="192" ht="13" customHeight="1"/>
    <row r="193" ht="13" customHeight="1"/>
    <row r="194" ht="13" customHeight="1"/>
    <row r="195" ht="13" customHeight="1"/>
    <row r="196" ht="13" customHeight="1"/>
    <row r="197" ht="13" customHeight="1"/>
    <row r="198" ht="13" customHeight="1"/>
  </sheetData>
  <sheetProtection sheet="1" formatCells="0" formatColumns="0" formatRows="0" insertColumns="0"/>
  <mergeCells count="100">
    <mergeCell ref="A17:B17"/>
    <mergeCell ref="A25:B25"/>
    <mergeCell ref="A44:B44"/>
    <mergeCell ref="A33:B33"/>
    <mergeCell ref="A34:B34"/>
    <mergeCell ref="A35:B35"/>
    <mergeCell ref="A39:B39"/>
    <mergeCell ref="A40:B40"/>
    <mergeCell ref="A37:B37"/>
    <mergeCell ref="A26:B26"/>
    <mergeCell ref="A36:B36"/>
    <mergeCell ref="A22:B22"/>
    <mergeCell ref="A23:B23"/>
    <mergeCell ref="A8:B8"/>
    <mergeCell ref="A9:B9"/>
    <mergeCell ref="A10:B10"/>
    <mergeCell ref="A11:B11"/>
    <mergeCell ref="A7:B7"/>
    <mergeCell ref="A48:B48"/>
    <mergeCell ref="A43:B43"/>
    <mergeCell ref="A82:A83"/>
    <mergeCell ref="A84:B84"/>
    <mergeCell ref="A49:B49"/>
    <mergeCell ref="A45:B45"/>
    <mergeCell ref="A85:B85"/>
    <mergeCell ref="A73:B73"/>
    <mergeCell ref="A46:B46"/>
    <mergeCell ref="A54:B54"/>
    <mergeCell ref="A53:B53"/>
    <mergeCell ref="A78:A79"/>
    <mergeCell ref="A51:B51"/>
    <mergeCell ref="A50:B50"/>
    <mergeCell ref="A80:A81"/>
    <mergeCell ref="A55:B55"/>
    <mergeCell ref="A56:B56"/>
    <mergeCell ref="A57:B57"/>
    <mergeCell ref="A72:DD72"/>
    <mergeCell ref="A47:B47"/>
    <mergeCell ref="A60:B60"/>
    <mergeCell ref="A52:B52"/>
    <mergeCell ref="DF73:DG73"/>
    <mergeCell ref="V5:W5"/>
    <mergeCell ref="AZ5:BA5"/>
    <mergeCell ref="CI5:CJ5"/>
    <mergeCell ref="CA5:CH5"/>
    <mergeCell ref="BB5:BL5"/>
    <mergeCell ref="BM5:BN5"/>
    <mergeCell ref="BB56:BH56"/>
    <mergeCell ref="BB57:BH57"/>
    <mergeCell ref="BO56:BT56"/>
    <mergeCell ref="BO57:BT57"/>
    <mergeCell ref="AV5:AY5"/>
    <mergeCell ref="AR5:AU5"/>
    <mergeCell ref="X5:AQ5"/>
    <mergeCell ref="C2:DD2"/>
    <mergeCell ref="CX3:DD3"/>
    <mergeCell ref="CA3:CJ3"/>
    <mergeCell ref="CK3:CW3"/>
    <mergeCell ref="CV5:CW5"/>
    <mergeCell ref="CK5:CU5"/>
    <mergeCell ref="DC5:DD5"/>
    <mergeCell ref="CX5:DB5"/>
    <mergeCell ref="C4:W4"/>
    <mergeCell ref="X4:BA4"/>
    <mergeCell ref="BB4:BN4"/>
    <mergeCell ref="CA4:CJ4"/>
    <mergeCell ref="CK4:CW4"/>
    <mergeCell ref="CX4:DD4"/>
    <mergeCell ref="BO4:BZ4"/>
    <mergeCell ref="C3:BZ3"/>
    <mergeCell ref="EB15:EC15"/>
    <mergeCell ref="BO5:BX5"/>
    <mergeCell ref="BY5:BZ5"/>
    <mergeCell ref="A30:B30"/>
    <mergeCell ref="A18:B18"/>
    <mergeCell ref="A19:B19"/>
    <mergeCell ref="C5:U5"/>
    <mergeCell ref="A3:B5"/>
    <mergeCell ref="A15:B15"/>
    <mergeCell ref="A27:B27"/>
    <mergeCell ref="A28:B28"/>
    <mergeCell ref="A13:B13"/>
    <mergeCell ref="A14:B14"/>
    <mergeCell ref="A16:B16"/>
    <mergeCell ref="A20:B20"/>
    <mergeCell ref="A6:B6"/>
    <mergeCell ref="DY14:DZ14"/>
    <mergeCell ref="DM21:DN21"/>
    <mergeCell ref="DP15:DQ15"/>
    <mergeCell ref="DS14:DT14"/>
    <mergeCell ref="DV14:DW14"/>
    <mergeCell ref="DJ21:DK21"/>
    <mergeCell ref="A31:B31"/>
    <mergeCell ref="A32:B32"/>
    <mergeCell ref="A24:B24"/>
    <mergeCell ref="A42:B42"/>
    <mergeCell ref="A21:B21"/>
    <mergeCell ref="A38:B38"/>
    <mergeCell ref="A41:B41"/>
    <mergeCell ref="A29:B29"/>
  </mergeCells>
  <phoneticPr fontId="55" type="noConversion"/>
  <conditionalFormatting sqref="C25:U25">
    <cfRule type="expression" dxfId="56" priority="8">
      <formula>OR(C17="Ja",)</formula>
    </cfRule>
  </conditionalFormatting>
  <conditionalFormatting sqref="V73">
    <cfRule type="expression" dxfId="55" priority="58">
      <formula>OR($V$54=0)</formula>
    </cfRule>
  </conditionalFormatting>
  <conditionalFormatting sqref="V80">
    <cfRule type="expression" dxfId="54" priority="326">
      <formula>OR($V$68=0)</formula>
    </cfRule>
  </conditionalFormatting>
  <conditionalFormatting sqref="V82">
    <cfRule type="expression" dxfId="53" priority="302">
      <formula>OR($V$69=0)</formula>
    </cfRule>
  </conditionalFormatting>
  <conditionalFormatting sqref="W73">
    <cfRule type="expression" dxfId="52" priority="56">
      <formula>OR($W$54=0)</formula>
    </cfRule>
  </conditionalFormatting>
  <conditionalFormatting sqref="W74:W78">
    <cfRule type="expression" dxfId="51" priority="340">
      <formula>OR($W$68=0)</formula>
    </cfRule>
  </conditionalFormatting>
  <conditionalFormatting sqref="W80">
    <cfRule type="expression" dxfId="50" priority="325">
      <formula>OR($W$68=0)</formula>
    </cfRule>
  </conditionalFormatting>
  <conditionalFormatting sqref="W82">
    <cfRule type="expression" dxfId="49" priority="301">
      <formula>OR($W$69=0)</formula>
    </cfRule>
  </conditionalFormatting>
  <conditionalFormatting sqref="X25:AY25">
    <cfRule type="expression" dxfId="48" priority="1">
      <formula>OR(X17="Ja",)</formula>
    </cfRule>
  </conditionalFormatting>
  <conditionalFormatting sqref="AZ73">
    <cfRule type="expression" dxfId="47" priority="55">
      <formula>OR($AZ$54=0)</formula>
    </cfRule>
  </conditionalFormatting>
  <conditionalFormatting sqref="AZ74:AZ79">
    <cfRule type="expression" dxfId="46" priority="14">
      <formula>OR($K$68=0)</formula>
    </cfRule>
  </conditionalFormatting>
  <conditionalFormatting sqref="AZ80">
    <cfRule type="expression" dxfId="45" priority="291">
      <formula>OR($AZ$68=0)</formula>
    </cfRule>
  </conditionalFormatting>
  <conditionalFormatting sqref="AZ82">
    <cfRule type="expression" dxfId="44" priority="246">
      <formula>OR($K$69=0)</formula>
    </cfRule>
  </conditionalFormatting>
  <conditionalFormatting sqref="BA73">
    <cfRule type="expression" dxfId="43" priority="54">
      <formula>OR($BA$54=0)</formula>
    </cfRule>
  </conditionalFormatting>
  <conditionalFormatting sqref="BA74:BA78">
    <cfRule type="expression" dxfId="42" priority="290">
      <formula>OR(#REF!=0)</formula>
    </cfRule>
  </conditionalFormatting>
  <conditionalFormatting sqref="BA79">
    <cfRule type="expression" dxfId="41" priority="13">
      <formula>OR(#REF!=0)</formula>
    </cfRule>
  </conditionalFormatting>
  <conditionalFormatting sqref="BA80">
    <cfRule type="expression" dxfId="40" priority="281">
      <formula>OR(#REF!=0)</formula>
    </cfRule>
  </conditionalFormatting>
  <conditionalFormatting sqref="BA82">
    <cfRule type="expression" dxfId="39" priority="241">
      <formula>OR(#REF!=0)</formula>
    </cfRule>
  </conditionalFormatting>
  <conditionalFormatting sqref="BB25:BL25">
    <cfRule type="expression" dxfId="38" priority="6">
      <formula>OR(BB17="Ja",)</formula>
    </cfRule>
  </conditionalFormatting>
  <conditionalFormatting sqref="BM73">
    <cfRule type="expression" dxfId="37" priority="53">
      <formula>OR($BM$54=0)</formula>
    </cfRule>
  </conditionalFormatting>
  <conditionalFormatting sqref="BM74:BM78">
    <cfRule type="expression" dxfId="36" priority="269">
      <formula>OR($W$68=0)</formula>
    </cfRule>
  </conditionalFormatting>
  <conditionalFormatting sqref="BM80">
    <cfRule type="expression" dxfId="35" priority="254">
      <formula>OR($W$68=0)</formula>
    </cfRule>
  </conditionalFormatting>
  <conditionalFormatting sqref="BM82">
    <cfRule type="expression" dxfId="34" priority="230">
      <formula>OR($W$69=0)</formula>
    </cfRule>
  </conditionalFormatting>
  <conditionalFormatting sqref="BN73 BZ73">
    <cfRule type="expression" dxfId="33" priority="52">
      <formula>OR($BN$54=0)</formula>
    </cfRule>
  </conditionalFormatting>
  <conditionalFormatting sqref="BN74:BN78 BZ74:BZ78 BZ80">
    <cfRule type="expression" dxfId="32" priority="268">
      <formula>OR($X$68=0)</formula>
    </cfRule>
  </conditionalFormatting>
  <conditionalFormatting sqref="BN80">
    <cfRule type="expression" dxfId="31" priority="253">
      <formula>OR($X$68=0)</formula>
    </cfRule>
  </conditionalFormatting>
  <conditionalFormatting sqref="BN82 BZ82">
    <cfRule type="expression" dxfId="30" priority="229">
      <formula>OR($X$69=0)</formula>
    </cfRule>
  </conditionalFormatting>
  <conditionalFormatting sqref="BO25:BX25">
    <cfRule type="expression" dxfId="29" priority="5">
      <formula>OR(BO17="Ja",)</formula>
    </cfRule>
  </conditionalFormatting>
  <conditionalFormatting sqref="BY73">
    <cfRule type="expression" dxfId="28" priority="9">
      <formula>OR($BM$54=0)</formula>
    </cfRule>
  </conditionalFormatting>
  <conditionalFormatting sqref="BY74:BY78">
    <cfRule type="expression" dxfId="27" priority="12">
      <formula>OR($W$68=0)</formula>
    </cfRule>
  </conditionalFormatting>
  <conditionalFormatting sqref="BY80">
    <cfRule type="expression" dxfId="26" priority="11">
      <formula>OR($W$68=0)</formula>
    </cfRule>
  </conditionalFormatting>
  <conditionalFormatting sqref="BY82">
    <cfRule type="expression" dxfId="25" priority="10">
      <formula>OR($W$69=0)</formula>
    </cfRule>
  </conditionalFormatting>
  <conditionalFormatting sqref="CA25:CH25">
    <cfRule type="expression" dxfId="24" priority="4">
      <formula>OR(CA17="Ja",)</formula>
    </cfRule>
  </conditionalFormatting>
  <conditionalFormatting sqref="CI73">
    <cfRule type="expression" dxfId="23" priority="51">
      <formula>OR($CI$54=0)</formula>
    </cfRule>
  </conditionalFormatting>
  <conditionalFormatting sqref="CI80">
    <cfRule type="expression" dxfId="22" priority="248">
      <formula>OR($AD$69=0)</formula>
    </cfRule>
  </conditionalFormatting>
  <conditionalFormatting sqref="CI82">
    <cfRule type="expression" dxfId="21" priority="224">
      <formula>OR($AD$69=0)</formula>
    </cfRule>
  </conditionalFormatting>
  <conditionalFormatting sqref="CJ73">
    <cfRule type="expression" dxfId="20" priority="50">
      <formula>OR($CJ$54=0)</formula>
    </cfRule>
  </conditionalFormatting>
  <conditionalFormatting sqref="CK25:CU25">
    <cfRule type="expression" dxfId="19" priority="3">
      <formula>OR(CK17="Ja",)</formula>
    </cfRule>
  </conditionalFormatting>
  <conditionalFormatting sqref="CV73">
    <cfRule type="expression" dxfId="18" priority="49">
      <formula>OR($CV$54=0)</formula>
    </cfRule>
  </conditionalFormatting>
  <conditionalFormatting sqref="CV74:CV78">
    <cfRule type="expression" dxfId="17" priority="217">
      <formula>OR($R$68=0)</formula>
    </cfRule>
  </conditionalFormatting>
  <conditionalFormatting sqref="CV80">
    <cfRule type="expression" dxfId="16" priority="202">
      <formula>OR($R$68=0)</formula>
    </cfRule>
  </conditionalFormatting>
  <conditionalFormatting sqref="CV82">
    <cfRule type="expression" dxfId="15" priority="185">
      <formula>OR($R$69=0)</formula>
    </cfRule>
  </conditionalFormatting>
  <conditionalFormatting sqref="CW73">
    <cfRule type="expression" dxfId="14" priority="48">
      <formula>OR($CW$54=0)</formula>
    </cfRule>
  </conditionalFormatting>
  <conditionalFormatting sqref="CW74:CW78">
    <cfRule type="expression" dxfId="13" priority="216">
      <formula>OR($S$68=0)</formula>
    </cfRule>
  </conditionalFormatting>
  <conditionalFormatting sqref="CW80">
    <cfRule type="expression" dxfId="12" priority="201">
      <formula>OR($S$68=0)</formula>
    </cfRule>
  </conditionalFormatting>
  <conditionalFormatting sqref="CW82">
    <cfRule type="expression" dxfId="11" priority="184">
      <formula>OR($S$69=0)</formula>
    </cfRule>
  </conditionalFormatting>
  <conditionalFormatting sqref="CX25:DB25">
    <cfRule type="expression" dxfId="10" priority="2">
      <formula>OR(CX17="Ja",)</formula>
    </cfRule>
  </conditionalFormatting>
  <conditionalFormatting sqref="DC73">
    <cfRule type="expression" dxfId="9" priority="47">
      <formula>OR($DC$54=0)</formula>
    </cfRule>
  </conditionalFormatting>
  <conditionalFormatting sqref="DC74:DC78">
    <cfRule type="expression" dxfId="8" priority="210">
      <formula>OR($Z$68=0)</formula>
    </cfRule>
  </conditionalFormatting>
  <conditionalFormatting sqref="DC80">
    <cfRule type="expression" dxfId="7" priority="195">
      <formula>OR($Z$68=0)</formula>
    </cfRule>
  </conditionalFormatting>
  <conditionalFormatting sqref="DC82">
    <cfRule type="expression" dxfId="6" priority="178">
      <formula>OR($Z$69=0)</formula>
    </cfRule>
  </conditionalFormatting>
  <conditionalFormatting sqref="DD73">
    <cfRule type="expression" dxfId="5" priority="46">
      <formula>OR($DD$54=0)</formula>
    </cfRule>
  </conditionalFormatting>
  <conditionalFormatting sqref="DD74:DD78">
    <cfRule type="expression" dxfId="4" priority="209">
      <formula>OR($AA$68=0)</formula>
    </cfRule>
  </conditionalFormatting>
  <conditionalFormatting sqref="DD80">
    <cfRule type="expression" dxfId="3" priority="194">
      <formula>OR($AA$68=0)</formula>
    </cfRule>
  </conditionalFormatting>
  <conditionalFormatting sqref="DD82">
    <cfRule type="expression" dxfId="2" priority="177">
      <formula>OR($AA$69=0)</formula>
    </cfRule>
  </conditionalFormatting>
  <dataValidations count="12">
    <dataValidation allowBlank="1" showInputMessage="1" showErrorMessage="1" promptTitle="OBS" prompt="Timenlønnen oplyses i 12 kr." sqref="DC9:DD9 CV9:CW9" xr:uid="{00000000-0002-0000-0800-000007000000}"/>
    <dataValidation allowBlank="1" showInputMessage="1" showErrorMessage="1" promptTitle="OBS" prompt="Er den ansatte under flexrefusion, skrives her refusionssatsen. Dette bruges til korrekt udregning af feriepengeforpligtigelse." sqref="C83:C85 BN83:DD85 V84:Y85 AZ84:BM85 C73:DD73 C81:DD81 D83:BM83" xr:uid="{00000000-0002-0000-0800-000008000000}"/>
    <dataValidation type="decimal" allowBlank="1" showInputMessage="1" showErrorMessage="1" sqref="C24:DD25" xr:uid="{00000000-0002-0000-0800-000003000000}">
      <formula1>0</formula1>
      <formula2>42/37</formula2>
    </dataValidation>
    <dataValidation type="decimal" allowBlank="1" showInputMessage="1" showErrorMessage="1" sqref="C69:DD69 C61:DD67" xr:uid="{00000000-0002-0000-0800-000004000000}">
      <formula1>-900000</formula1>
      <formula2>-1</formula2>
    </dataValidation>
    <dataValidation type="list" allowBlank="1" showInputMessage="1" showErrorMessage="1" sqref="C16:AQ16 AZ16:DD16" xr:uid="{00000000-0002-0000-0800-000005000000}">
      <formula1>$DG$13:$DG$14</formula1>
    </dataValidation>
    <dataValidation type="decimal" allowBlank="1" showInputMessage="1" showErrorMessage="1" sqref="C11:DD11" xr:uid="{6134E07A-83D4-D74C-BE08-197491679898}">
      <formula1>0</formula1>
      <formula2>3</formula2>
    </dataValidation>
    <dataValidation type="decimal" allowBlank="1" showInputMessage="1" showErrorMessage="1" sqref="C12:DD12" xr:uid="{6159F0D9-C729-ED46-8EAC-B5DD96907E60}">
      <formula1>0</formula1>
      <formula2>4</formula2>
    </dataValidation>
    <dataValidation type="decimal" allowBlank="1" showInputMessage="1" showErrorMessage="1" sqref="C13:DD13" xr:uid="{EE79BB33-1A97-0E4B-8F48-2C8598925BFA}">
      <formula1>0</formula1>
      <formula2>5</formula2>
    </dataValidation>
    <dataValidation type="decimal" allowBlank="1" showInputMessage="1" showErrorMessage="1" sqref="C20:AQ20 AV20:DD20" xr:uid="{6081CA1A-58D7-3142-8AF8-820A839B0086}">
      <formula1>0</formula1>
      <formula2>30</formula2>
    </dataValidation>
    <dataValidation type="list" allowBlank="1" showInputMessage="1" showErrorMessage="1" sqref="BO7:BX7 BB7:BL7 C7:U7 X7:AQ7" xr:uid="{38494E86-0ABB-184D-85F7-B5FBC736CD55}">
      <formula1>$DE$7:$DE$10</formula1>
    </dataValidation>
    <dataValidation type="list" allowBlank="1" showInputMessage="1" showErrorMessage="1" sqref="AR16:AY16" xr:uid="{5BA57636-0254-9A45-9F7B-7A0D3359F452}">
      <formula1>$DL$13:$DL$14</formula1>
    </dataValidation>
    <dataValidation type="list" allowBlank="1" showInputMessage="1" showErrorMessage="1" sqref="AV7:AY7" xr:uid="{443CCEFA-1A54-4546-BC49-FCA0EDFEF54A}">
      <formula1>$DE$10</formula1>
    </dataValidation>
  </dataValidations>
  <pageMargins left="0.35433070866141736" right="0.35433070866141736" top="0.59055118110236227" bottom="0.59055118110236227" header="0.31496062992125984" footer="0.31496062992125984"/>
  <pageSetup paperSize="9" scale="10" orientation="portrait" r:id="rId1"/>
  <headerFooter alignWithMargins="0">
    <oddHeader>&amp;C&amp;"Helvetica,Fed"&amp;14Lønberegning Pædagoger, sekretær, pedel mv</oddHeader>
    <oddFooter>&amp;L&amp;G&amp;R
&amp;D
&amp;A</oddFooter>
  </headerFooter>
  <rowBreaks count="1" manualBreakCount="1">
    <brk id="57" max="16383" man="1"/>
  </rowBreaks>
  <drawing r:id="rId2"/>
  <legacyDrawing r:id="rId3"/>
  <legacyDrawingHF r:id="rId4"/>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900-00000A000000}">
          <x14:formula1>
            <xm:f>Grundlon!$A$17:$A$62</xm:f>
          </x14:formula1>
          <xm:sqref>CA8:CH8 C8:D8 CX8:DB8 CK8:CU8 X8:Z8</xm:sqref>
        </x14:dataValidation>
        <x14:dataValidation type="list" allowBlank="1" showInputMessage="1" showErrorMessage="1" xr:uid="{9C688A53-A8D2-7940-9783-C986AEAABA21}">
          <x14:formula1>
            <xm:f>Grundlon!$A$19:$A$62</xm:f>
          </x14:formula1>
          <xm:sqref>BB8:BL8 BO8:BX8 E8:U8 AA8:AQ8 AV8:AY8</xm:sqref>
        </x14:dataValidation>
        <x14:dataValidation type="list" allowBlank="1" showInputMessage="1" showErrorMessage="1" xr:uid="{00000000-0002-0000-0900-00000B000000}">
          <x14:formula1>
            <xm:f>Grundlon!$B$90:$B$91</xm:f>
          </x14:formula1>
          <xm:sqref>I18:U19 CX18:DB19 CK18:CU19 BO18:BX19 CA18:CH19 C17:H19 BB18:BL19 AV21:DD21 AZ17:DD17 I17:AQ17 C21:AQ21 X18:AQ19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Ark7">
    <tabColor rgb="FFFFFF00"/>
  </sheetPr>
  <dimension ref="A1:I133"/>
  <sheetViews>
    <sheetView topLeftCell="B7" zoomScale="150" zoomScaleNormal="150" workbookViewId="0">
      <selection activeCell="E116" sqref="E116:E118"/>
    </sheetView>
  </sheetViews>
  <sheetFormatPr baseColWidth="10" defaultColWidth="10.83203125" defaultRowHeight="14"/>
  <cols>
    <col min="1" max="1" width="4" style="27" customWidth="1"/>
    <col min="2" max="2" width="9.5" style="445" customWidth="1"/>
    <col min="3" max="3" width="50.83203125" style="9" customWidth="1"/>
    <col min="4" max="5" width="13.1640625" style="9" customWidth="1"/>
    <col min="6" max="6" width="34.5" style="9" customWidth="1"/>
    <col min="7" max="7" width="7" style="9" customWidth="1"/>
    <col min="8" max="9" width="9.5" style="9" customWidth="1"/>
    <col min="10" max="16384" width="10.83203125" style="9"/>
  </cols>
  <sheetData>
    <row r="1" spans="1:6" s="101" customFormat="1" ht="25.5" customHeight="1" thickBot="1">
      <c r="A1" s="885"/>
      <c r="B1" s="886"/>
      <c r="C1" s="887"/>
      <c r="D1" s="887"/>
      <c r="E1" s="887"/>
      <c r="F1" s="9"/>
    </row>
    <row r="2" spans="1:6" ht="82" customHeight="1" thickBot="1">
      <c r="A2" s="3145" t="s">
        <v>680</v>
      </c>
      <c r="B2" s="3146"/>
      <c r="C2" s="3146"/>
      <c r="D2" s="1620" t="s">
        <v>681</v>
      </c>
      <c r="E2" s="888" t="s">
        <v>682</v>
      </c>
      <c r="F2" s="889" t="str">
        <f>"Ændringer i budgetår "&amp;E3+1&amp;" i forhold til "&amp;E3&amp;". Hvis ekstra udgifter påfør udgiften som et positivt tal. Hvis en lavere udgift, påfør den lavere udgift med et negativt tal. Tallene skal ses i forhold til Budgetåret "&amp;E3&amp;"."</f>
        <v>Ændringer i budgetår 2027 i forhold til 2026. Hvis ekstra udgifter påfør udgiften som et positivt tal. Hvis en lavere udgift, påfør den lavere udgift med et negativt tal. Tallene skal ses i forhold til Budgetåret 2026.</v>
      </c>
    </row>
    <row r="3" spans="1:6" ht="17" thickBot="1">
      <c r="A3" s="1621" t="s">
        <v>683</v>
      </c>
      <c r="B3" s="1622" t="s">
        <v>684</v>
      </c>
      <c r="C3" s="1623" t="s">
        <v>685</v>
      </c>
      <c r="D3" s="1624">
        <f>budgetår-1</f>
        <v>2025</v>
      </c>
      <c r="E3" s="1625">
        <f>budgetår</f>
        <v>2026</v>
      </c>
      <c r="F3" s="890" t="str">
        <f>"Ændringer til "&amp;$E$3+1&amp;""</f>
        <v>Ændringer til 2027</v>
      </c>
    </row>
    <row r="4" spans="1:6" ht="16">
      <c r="A4" s="610">
        <v>1</v>
      </c>
      <c r="B4" s="465"/>
      <c r="C4" s="394" t="s">
        <v>686</v>
      </c>
      <c r="D4" s="418"/>
      <c r="E4" s="413"/>
      <c r="F4" s="1626"/>
    </row>
    <row r="5" spans="1:6" ht="16">
      <c r="A5" s="611">
        <f>A4+1</f>
        <v>2</v>
      </c>
      <c r="B5" s="463"/>
      <c r="C5" s="383" t="s">
        <v>687</v>
      </c>
      <c r="D5" s="413"/>
      <c r="E5" s="413"/>
      <c r="F5" s="1627"/>
    </row>
    <row r="6" spans="1:6" ht="16">
      <c r="A6" s="611">
        <f t="shared" ref="A6:A85" si="0">A5+1</f>
        <v>3</v>
      </c>
      <c r="B6" s="463"/>
      <c r="C6" s="383" t="s">
        <v>688</v>
      </c>
      <c r="D6" s="413"/>
      <c r="E6" s="413"/>
      <c r="F6" s="1627"/>
    </row>
    <row r="7" spans="1:6" ht="16">
      <c r="A7" s="611">
        <f t="shared" si="0"/>
        <v>4</v>
      </c>
      <c r="B7" s="463"/>
      <c r="C7" s="383" t="s">
        <v>689</v>
      </c>
      <c r="D7" s="413"/>
      <c r="E7" s="413"/>
      <c r="F7" s="1627"/>
    </row>
    <row r="8" spans="1:6" ht="16">
      <c r="A8" s="611">
        <f t="shared" si="0"/>
        <v>5</v>
      </c>
      <c r="B8" s="463"/>
      <c r="C8" s="383" t="s">
        <v>690</v>
      </c>
      <c r="D8" s="413"/>
      <c r="E8" s="413"/>
      <c r="F8" s="1627"/>
    </row>
    <row r="9" spans="1:6" ht="16">
      <c r="A9" s="611">
        <f t="shared" si="0"/>
        <v>6</v>
      </c>
      <c r="B9" s="463"/>
      <c r="C9" s="383" t="s">
        <v>691</v>
      </c>
      <c r="D9" s="413"/>
      <c r="E9" s="413"/>
      <c r="F9" s="1627"/>
    </row>
    <row r="10" spans="1:6" ht="16">
      <c r="A10" s="611">
        <f t="shared" si="0"/>
        <v>7</v>
      </c>
      <c r="B10" s="463"/>
      <c r="C10" s="383" t="s">
        <v>692</v>
      </c>
      <c r="D10" s="413"/>
      <c r="E10" s="413"/>
      <c r="F10" s="1627"/>
    </row>
    <row r="11" spans="1:6" ht="16">
      <c r="A11" s="611">
        <f t="shared" si="0"/>
        <v>8</v>
      </c>
      <c r="B11" s="463"/>
      <c r="C11" s="383" t="s">
        <v>693</v>
      </c>
      <c r="D11" s="413"/>
      <c r="E11" s="413"/>
      <c r="F11" s="1628"/>
    </row>
    <row r="12" spans="1:6" ht="16">
      <c r="A12" s="611">
        <f t="shared" si="0"/>
        <v>9</v>
      </c>
      <c r="B12" s="464"/>
      <c r="C12" s="396" t="s">
        <v>694</v>
      </c>
      <c r="D12" s="413"/>
      <c r="E12" s="413"/>
      <c r="F12" s="1627"/>
    </row>
    <row r="13" spans="1:6" ht="16">
      <c r="A13" s="611">
        <f t="shared" si="0"/>
        <v>10</v>
      </c>
      <c r="B13" s="463"/>
      <c r="C13" s="415" t="s">
        <v>695</v>
      </c>
      <c r="D13" s="413"/>
      <c r="E13" s="413"/>
      <c r="F13" s="1627"/>
    </row>
    <row r="14" spans="1:6" ht="16">
      <c r="A14" s="611">
        <f t="shared" si="0"/>
        <v>11</v>
      </c>
      <c r="B14" s="463"/>
      <c r="C14" s="415" t="s">
        <v>696</v>
      </c>
      <c r="D14" s="413"/>
      <c r="E14" s="413"/>
      <c r="F14" s="1627"/>
    </row>
    <row r="15" spans="1:6" ht="16">
      <c r="A15" s="611">
        <f t="shared" si="0"/>
        <v>12</v>
      </c>
      <c r="B15" s="463"/>
      <c r="C15" s="415" t="s">
        <v>697</v>
      </c>
      <c r="D15" s="413"/>
      <c r="E15" s="413"/>
      <c r="F15" s="1627"/>
    </row>
    <row r="16" spans="1:6" ht="16">
      <c r="A16" s="611">
        <f t="shared" si="0"/>
        <v>13</v>
      </c>
      <c r="B16" s="463"/>
      <c r="C16" s="415" t="s">
        <v>698</v>
      </c>
      <c r="D16" s="413"/>
      <c r="E16" s="413"/>
      <c r="F16" s="1627"/>
    </row>
    <row r="17" spans="1:9" ht="16">
      <c r="A17" s="611"/>
      <c r="B17" s="463"/>
      <c r="C17" s="415" t="s">
        <v>756</v>
      </c>
      <c r="D17" s="413"/>
      <c r="E17" s="413"/>
      <c r="F17" s="1627"/>
    </row>
    <row r="18" spans="1:9" ht="16">
      <c r="A18" s="611">
        <f>A16+1</f>
        <v>14</v>
      </c>
      <c r="B18" s="463"/>
      <c r="C18" s="415" t="s">
        <v>699</v>
      </c>
      <c r="D18" s="413"/>
      <c r="E18" s="413"/>
      <c r="F18" s="1627"/>
    </row>
    <row r="19" spans="1:9" ht="16">
      <c r="A19" s="395">
        <f t="shared" si="0"/>
        <v>15</v>
      </c>
      <c r="B19" s="464"/>
      <c r="C19" s="416" t="s">
        <v>700</v>
      </c>
      <c r="D19" s="413"/>
      <c r="E19" s="413"/>
      <c r="F19" s="1627"/>
    </row>
    <row r="20" spans="1:9" ht="17" thickBot="1">
      <c r="A20" s="1629"/>
      <c r="B20" s="1630"/>
      <c r="C20" s="1631" t="s">
        <v>701</v>
      </c>
      <c r="D20" s="1632">
        <f>SUM(D4:D19)</f>
        <v>0</v>
      </c>
      <c r="E20" s="1633">
        <f>SUM(E4:E19)</f>
        <v>0</v>
      </c>
      <c r="F20" s="1633">
        <f>SUM(F4:F19)</f>
        <v>0</v>
      </c>
    </row>
    <row r="21" spans="1:9" ht="17" thickBot="1">
      <c r="A21" s="1634" t="s">
        <v>683</v>
      </c>
      <c r="B21" s="1635" t="str">
        <f>B3</f>
        <v>Kto.nr</v>
      </c>
      <c r="C21" s="1636" t="s">
        <v>702</v>
      </c>
      <c r="D21" s="1637">
        <f>budgetår-1</f>
        <v>2025</v>
      </c>
      <c r="E21" s="1638">
        <f>budgetår</f>
        <v>2026</v>
      </c>
      <c r="F21" s="890" t="str">
        <f>"Ændringer til "&amp;$E$3+1&amp;""</f>
        <v>Ændringer til 2027</v>
      </c>
    </row>
    <row r="22" spans="1:9" ht="16">
      <c r="A22" s="818">
        <v>1</v>
      </c>
      <c r="B22" s="1639"/>
      <c r="C22" s="417" t="s">
        <v>1492</v>
      </c>
      <c r="D22" s="418"/>
      <c r="E22" s="2464"/>
      <c r="F22" s="1641"/>
    </row>
    <row r="23" spans="1:9" ht="16">
      <c r="A23" s="818">
        <f>A22+1</f>
        <v>2</v>
      </c>
      <c r="B23" s="468"/>
      <c r="C23" s="415" t="s">
        <v>703</v>
      </c>
      <c r="D23" s="413"/>
      <c r="E23" s="414"/>
      <c r="F23" s="1641"/>
    </row>
    <row r="24" spans="1:9" ht="16">
      <c r="A24" s="818">
        <f>A23+1</f>
        <v>3</v>
      </c>
      <c r="B24" s="468"/>
      <c r="C24" s="415" t="s">
        <v>704</v>
      </c>
      <c r="D24" s="413"/>
      <c r="E24" s="383"/>
      <c r="F24" s="1641"/>
    </row>
    <row r="25" spans="1:9" ht="16">
      <c r="A25" s="818">
        <f>A24+1</f>
        <v>4</v>
      </c>
      <c r="B25" s="469"/>
      <c r="C25" s="419"/>
      <c r="D25" s="413"/>
      <c r="E25" s="603"/>
      <c r="F25" s="1641"/>
    </row>
    <row r="26" spans="1:9" ht="17" thickBot="1">
      <c r="A26" s="1642"/>
      <c r="B26" s="1643"/>
      <c r="C26" s="1644" t="s">
        <v>705</v>
      </c>
      <c r="D26" s="1645">
        <f>SUM(D22:D25)</f>
        <v>0</v>
      </c>
      <c r="E26" s="1646">
        <f>SUM(E22:E25)</f>
        <v>0</v>
      </c>
      <c r="F26" s="1646">
        <f>SUM(F22:F25)</f>
        <v>0</v>
      </c>
    </row>
    <row r="27" spans="1:9" ht="16">
      <c r="A27" s="1647" t="s">
        <v>683</v>
      </c>
      <c r="B27" s="1635" t="str">
        <f>B21</f>
        <v>Kto.nr</v>
      </c>
      <c r="C27" s="1636" t="s">
        <v>706</v>
      </c>
      <c r="D27" s="1637">
        <f>budgetår-1</f>
        <v>2025</v>
      </c>
      <c r="E27" s="1638">
        <f>budgetår</f>
        <v>2026</v>
      </c>
      <c r="F27" s="1648" t="str">
        <f>"Ændringer til "&amp;$E$3+1&amp;""</f>
        <v>Ændringer til 2027</v>
      </c>
    </row>
    <row r="28" spans="1:9" ht="16">
      <c r="A28" s="610">
        <v>1</v>
      </c>
      <c r="B28" s="1639"/>
      <c r="C28" s="417" t="s">
        <v>707</v>
      </c>
      <c r="D28" s="418"/>
      <c r="E28" s="1640"/>
      <c r="F28" s="1641"/>
    </row>
    <row r="29" spans="1:9" ht="16">
      <c r="A29" s="612">
        <v>2</v>
      </c>
      <c r="B29" s="468"/>
      <c r="C29" s="420" t="s">
        <v>708</v>
      </c>
      <c r="D29" s="418"/>
      <c r="E29" s="414"/>
      <c r="F29" s="1641"/>
    </row>
    <row r="30" spans="1:9" ht="16">
      <c r="A30" s="612">
        <v>3</v>
      </c>
      <c r="B30" s="468"/>
      <c r="C30" s="420"/>
      <c r="D30" s="418"/>
      <c r="E30" s="609"/>
      <c r="F30" s="1641"/>
    </row>
    <row r="31" spans="1:9" ht="16">
      <c r="A31" s="395">
        <v>4</v>
      </c>
      <c r="B31" s="469"/>
      <c r="C31" s="421"/>
      <c r="D31" s="413"/>
      <c r="E31" s="603"/>
      <c r="F31" s="1641"/>
      <c r="I31" s="28"/>
    </row>
    <row r="32" spans="1:9" ht="17" thickBot="1">
      <c r="A32" s="1642"/>
      <c r="B32" s="1643"/>
      <c r="C32" s="1644" t="s">
        <v>709</v>
      </c>
      <c r="D32" s="1645">
        <f>SUM(D28:D31)</f>
        <v>0</v>
      </c>
      <c r="E32" s="1646">
        <f>SUM(E28:E31)</f>
        <v>0</v>
      </c>
      <c r="F32" s="1646">
        <f>SUM(F28:F31)</f>
        <v>0</v>
      </c>
    </row>
    <row r="33" spans="1:6" ht="16">
      <c r="A33" s="1647" t="s">
        <v>683</v>
      </c>
      <c r="B33" s="1635" t="str">
        <f>B21</f>
        <v>Kto.nr</v>
      </c>
      <c r="C33" s="1636" t="s">
        <v>710</v>
      </c>
      <c r="D33" s="1637">
        <f>budgetår-1</f>
        <v>2025</v>
      </c>
      <c r="E33" s="1638">
        <f>budgetår</f>
        <v>2026</v>
      </c>
      <c r="F33" s="1648" t="str">
        <f>"Ændringer til "&amp;$E$3+1&amp;""</f>
        <v>Ændringer til 2027</v>
      </c>
    </row>
    <row r="34" spans="1:6" ht="16">
      <c r="A34" s="610">
        <v>1</v>
      </c>
      <c r="B34" s="465"/>
      <c r="C34" s="417" t="s">
        <v>711</v>
      </c>
      <c r="D34" s="418"/>
      <c r="E34" s="1640"/>
      <c r="F34" s="1649"/>
    </row>
    <row r="35" spans="1:6" ht="16">
      <c r="A35" s="611">
        <f t="shared" si="0"/>
        <v>2</v>
      </c>
      <c r="B35" s="463"/>
      <c r="C35" s="415" t="s">
        <v>712</v>
      </c>
      <c r="D35" s="413"/>
      <c r="E35" s="383"/>
      <c r="F35" s="1649"/>
    </row>
    <row r="36" spans="1:6" ht="16">
      <c r="A36" s="611">
        <f t="shared" si="0"/>
        <v>3</v>
      </c>
      <c r="B36" s="463"/>
      <c r="C36" s="422" t="s">
        <v>713</v>
      </c>
      <c r="D36" s="413"/>
      <c r="E36" s="383"/>
      <c r="F36" s="1641"/>
    </row>
    <row r="37" spans="1:6" ht="16">
      <c r="A37" s="611">
        <v>4</v>
      </c>
      <c r="B37" s="465"/>
      <c r="C37" s="417"/>
      <c r="D37" s="413"/>
      <c r="E37" s="394"/>
      <c r="F37" s="1641"/>
    </row>
    <row r="38" spans="1:6" ht="16">
      <c r="A38" s="395">
        <v>5</v>
      </c>
      <c r="B38" s="464"/>
      <c r="C38" s="423" t="s">
        <v>714</v>
      </c>
      <c r="D38" s="413"/>
      <c r="E38" s="603"/>
      <c r="F38" s="1641"/>
    </row>
    <row r="39" spans="1:6" ht="17" thickBot="1">
      <c r="A39" s="1642"/>
      <c r="B39" s="1643"/>
      <c r="C39" s="1644" t="s">
        <v>715</v>
      </c>
      <c r="D39" s="1645">
        <f>SUM(D34:D38)</f>
        <v>0</v>
      </c>
      <c r="E39" s="1646">
        <f>SUM(E34:E38)</f>
        <v>0</v>
      </c>
      <c r="F39" s="1646">
        <f>SUM(F34:F38)</f>
        <v>0</v>
      </c>
    </row>
    <row r="40" spans="1:6" ht="16">
      <c r="A40" s="1647" t="s">
        <v>683</v>
      </c>
      <c r="B40" s="1635" t="str">
        <f>B27</f>
        <v>Kto.nr</v>
      </c>
      <c r="C40" s="1636" t="s">
        <v>716</v>
      </c>
      <c r="D40" s="1637">
        <f>budgetår-1</f>
        <v>2025</v>
      </c>
      <c r="E40" s="1638">
        <f>budgetår</f>
        <v>2026</v>
      </c>
      <c r="F40" s="1648" t="str">
        <f>"Ændringer til "&amp;$E$3+1&amp;""</f>
        <v>Ændringer til 2027</v>
      </c>
    </row>
    <row r="41" spans="1:6" ht="16">
      <c r="A41" s="610">
        <v>1</v>
      </c>
      <c r="B41" s="465"/>
      <c r="C41" s="417" t="s">
        <v>711</v>
      </c>
      <c r="D41" s="418"/>
      <c r="E41" s="1640"/>
      <c r="F41" s="1649"/>
    </row>
    <row r="42" spans="1:6" ht="16">
      <c r="A42" s="611">
        <f t="shared" si="0"/>
        <v>2</v>
      </c>
      <c r="B42" s="464"/>
      <c r="C42" s="396" t="s">
        <v>717</v>
      </c>
      <c r="D42" s="413"/>
      <c r="E42" s="383"/>
      <c r="F42" s="1649"/>
    </row>
    <row r="43" spans="1:6" ht="16">
      <c r="A43" s="611">
        <f t="shared" si="0"/>
        <v>3</v>
      </c>
      <c r="B43" s="463"/>
      <c r="C43" s="415"/>
      <c r="D43" s="413"/>
      <c r="E43" s="383"/>
      <c r="F43" s="1649"/>
    </row>
    <row r="44" spans="1:6" ht="16">
      <c r="A44" s="611">
        <f t="shared" si="0"/>
        <v>4</v>
      </c>
      <c r="B44" s="463"/>
      <c r="C44" s="415"/>
      <c r="D44" s="413"/>
      <c r="E44" s="383"/>
      <c r="F44" s="1649"/>
    </row>
    <row r="45" spans="1:6" ht="16">
      <c r="A45" s="611">
        <f t="shared" si="0"/>
        <v>5</v>
      </c>
      <c r="B45" s="463"/>
      <c r="C45" s="415"/>
      <c r="D45" s="413"/>
      <c r="E45" s="383"/>
      <c r="F45" s="1649"/>
    </row>
    <row r="46" spans="1:6" ht="16">
      <c r="A46" s="611">
        <f t="shared" si="0"/>
        <v>6</v>
      </c>
      <c r="B46" s="463"/>
      <c r="C46" s="415"/>
      <c r="D46" s="413"/>
      <c r="E46" s="383"/>
      <c r="F46" s="1649"/>
    </row>
    <row r="47" spans="1:6" ht="16">
      <c r="A47" s="611">
        <f t="shared" si="0"/>
        <v>7</v>
      </c>
      <c r="B47" s="463"/>
      <c r="C47" s="415"/>
      <c r="D47" s="413"/>
      <c r="E47" s="383"/>
      <c r="F47" s="1649"/>
    </row>
    <row r="48" spans="1:6" ht="16">
      <c r="A48" s="611">
        <v>9</v>
      </c>
      <c r="B48" s="463"/>
      <c r="C48" s="424" t="s">
        <v>718</v>
      </c>
      <c r="D48" s="413"/>
      <c r="E48" s="383"/>
      <c r="F48" s="1649"/>
    </row>
    <row r="49" spans="1:6" ht="34">
      <c r="A49" s="611">
        <f t="shared" si="0"/>
        <v>10</v>
      </c>
      <c r="B49" s="463"/>
      <c r="C49" s="756" t="s">
        <v>719</v>
      </c>
      <c r="D49" s="413"/>
      <c r="E49" s="383"/>
      <c r="F49" s="1641"/>
    </row>
    <row r="50" spans="1:6" ht="34">
      <c r="A50" s="611">
        <v>11</v>
      </c>
      <c r="B50" s="465"/>
      <c r="C50" s="755" t="s">
        <v>720</v>
      </c>
      <c r="D50" s="413"/>
      <c r="E50" s="394"/>
      <c r="F50" s="1641"/>
    </row>
    <row r="51" spans="1:6" ht="16">
      <c r="A51" s="395">
        <f t="shared" si="0"/>
        <v>12</v>
      </c>
      <c r="B51" s="464"/>
      <c r="C51" s="423" t="s">
        <v>721</v>
      </c>
      <c r="D51" s="413"/>
      <c r="E51" s="603"/>
      <c r="F51" s="1641"/>
    </row>
    <row r="52" spans="1:6" ht="17" thickBot="1">
      <c r="A52" s="1642"/>
      <c r="B52" s="1643"/>
      <c r="C52" s="1644" t="s">
        <v>722</v>
      </c>
      <c r="D52" s="1645">
        <f>SUM(D41:D51)</f>
        <v>0</v>
      </c>
      <c r="E52" s="1646">
        <f>SUM(E41:E51)</f>
        <v>0</v>
      </c>
      <c r="F52" s="1646">
        <f>SUM(F41:F51)</f>
        <v>0</v>
      </c>
    </row>
    <row r="53" spans="1:6" ht="16">
      <c r="A53" s="1647" t="s">
        <v>683</v>
      </c>
      <c r="B53" s="1635" t="str">
        <f>B40</f>
        <v>Kto.nr</v>
      </c>
      <c r="C53" s="1636" t="s">
        <v>723</v>
      </c>
      <c r="D53" s="1637">
        <f>budgetår-1</f>
        <v>2025</v>
      </c>
      <c r="E53" s="1638">
        <f>budgetår</f>
        <v>2026</v>
      </c>
      <c r="F53" s="1648" t="str">
        <f>"Ændringer til "&amp;$E$3+1&amp;""</f>
        <v>Ændringer til 2027</v>
      </c>
    </row>
    <row r="54" spans="1:6" ht="16">
      <c r="A54" s="610">
        <v>1</v>
      </c>
      <c r="B54" s="465"/>
      <c r="C54" s="417" t="s">
        <v>724</v>
      </c>
      <c r="D54" s="418"/>
      <c r="E54" s="1640"/>
      <c r="F54" s="1649"/>
    </row>
    <row r="55" spans="1:6" ht="16">
      <c r="A55" s="611">
        <f t="shared" si="0"/>
        <v>2</v>
      </c>
      <c r="B55" s="463"/>
      <c r="C55" s="415" t="s">
        <v>725</v>
      </c>
      <c r="D55" s="413"/>
      <c r="E55" s="414"/>
      <c r="F55" s="1649"/>
    </row>
    <row r="56" spans="1:6" ht="16">
      <c r="A56" s="611">
        <f t="shared" si="0"/>
        <v>3</v>
      </c>
      <c r="B56" s="463"/>
      <c r="C56" s="415" t="s">
        <v>726</v>
      </c>
      <c r="D56" s="413"/>
      <c r="E56" s="383"/>
      <c r="F56" s="1641"/>
    </row>
    <row r="57" spans="1:6" ht="16">
      <c r="A57" s="611">
        <f t="shared" si="0"/>
        <v>4</v>
      </c>
      <c r="B57" s="463"/>
      <c r="C57" s="424" t="s">
        <v>727</v>
      </c>
      <c r="D57" s="413"/>
      <c r="E57" s="383"/>
      <c r="F57" s="1641"/>
    </row>
    <row r="58" spans="1:6" ht="16">
      <c r="A58" s="395">
        <v>5</v>
      </c>
      <c r="B58" s="464"/>
      <c r="C58" s="423" t="s">
        <v>728</v>
      </c>
      <c r="D58" s="413"/>
      <c r="E58" s="603"/>
      <c r="F58" s="1641"/>
    </row>
    <row r="59" spans="1:6" ht="17" thickBot="1">
      <c r="A59" s="1642"/>
      <c r="B59" s="1643"/>
      <c r="C59" s="1644" t="s">
        <v>729</v>
      </c>
      <c r="D59" s="1645">
        <f>SUM(D54:D58)</f>
        <v>0</v>
      </c>
      <c r="E59" s="1646">
        <f>SUM(E54:E58)</f>
        <v>0</v>
      </c>
      <c r="F59" s="1646">
        <f>SUM(F54:F58)</f>
        <v>0</v>
      </c>
    </row>
    <row r="60" spans="1:6" ht="16">
      <c r="A60" s="1634" t="s">
        <v>683</v>
      </c>
      <c r="B60" s="1635" t="str">
        <f>B53</f>
        <v>Kto.nr</v>
      </c>
      <c r="C60" s="1636" t="s">
        <v>730</v>
      </c>
      <c r="D60" s="1637">
        <f>budgetår-1</f>
        <v>2025</v>
      </c>
      <c r="E60" s="1638">
        <f>budgetår</f>
        <v>2026</v>
      </c>
      <c r="F60" s="1648" t="str">
        <f>"Ændringer til "&amp;$E$3+1&amp;""</f>
        <v>Ændringer til 2027</v>
      </c>
    </row>
    <row r="61" spans="1:6" ht="16">
      <c r="A61" s="610">
        <v>1</v>
      </c>
      <c r="B61" s="465"/>
      <c r="C61" s="417" t="s">
        <v>731</v>
      </c>
      <c r="D61" s="418"/>
      <c r="E61" s="1650"/>
      <c r="F61" s="1641"/>
    </row>
    <row r="62" spans="1:6" ht="16">
      <c r="A62" s="395">
        <f t="shared" si="0"/>
        <v>2</v>
      </c>
      <c r="B62" s="464"/>
      <c r="C62" s="415"/>
      <c r="D62" s="413"/>
      <c r="E62" s="603"/>
      <c r="F62" s="1641"/>
    </row>
    <row r="63" spans="1:6" ht="17" thickBot="1">
      <c r="A63" s="1642"/>
      <c r="B63" s="1643"/>
      <c r="C63" s="1644" t="s">
        <v>732</v>
      </c>
      <c r="D63" s="1645">
        <f>SUM(D61:D62)</f>
        <v>0</v>
      </c>
      <c r="E63" s="1646">
        <f>SUM(E61:E62)</f>
        <v>0</v>
      </c>
      <c r="F63" s="1646">
        <f>SUM(F61:F62)</f>
        <v>0</v>
      </c>
    </row>
    <row r="64" spans="1:6" ht="16">
      <c r="A64" s="1651" t="s">
        <v>683</v>
      </c>
      <c r="B64" s="1652" t="str">
        <f>B60</f>
        <v>Kto.nr</v>
      </c>
      <c r="C64" s="1653" t="s">
        <v>733</v>
      </c>
      <c r="D64" s="1637">
        <f>budgetår-1</f>
        <v>2025</v>
      </c>
      <c r="E64" s="1638">
        <f>budgetår</f>
        <v>2026</v>
      </c>
      <c r="F64" s="1648" t="str">
        <f>"Ændringer til "&amp;$E$3+1&amp;""</f>
        <v>Ændringer til 2027</v>
      </c>
    </row>
    <row r="65" spans="1:9" ht="16">
      <c r="A65" s="1654">
        <v>1</v>
      </c>
      <c r="B65" s="1655"/>
      <c r="C65" s="1656" t="s">
        <v>734</v>
      </c>
      <c r="D65" s="413"/>
      <c r="E65" s="383"/>
      <c r="F65" s="1641"/>
    </row>
    <row r="66" spans="1:9" ht="16">
      <c r="A66" s="611">
        <f t="shared" ref="A66:A71" si="1">A65+1</f>
        <v>2</v>
      </c>
      <c r="B66" s="463"/>
      <c r="C66" s="424" t="s">
        <v>735</v>
      </c>
      <c r="D66" s="413"/>
      <c r="E66" s="383"/>
      <c r="F66" s="1641"/>
    </row>
    <row r="67" spans="1:9" ht="16">
      <c r="A67" s="611">
        <f t="shared" si="1"/>
        <v>3</v>
      </c>
      <c r="B67" s="463"/>
      <c r="C67" s="424" t="s">
        <v>736</v>
      </c>
      <c r="D67" s="413"/>
      <c r="E67" s="383"/>
      <c r="F67" s="1641"/>
    </row>
    <row r="68" spans="1:9" ht="16">
      <c r="A68" s="611">
        <f t="shared" si="1"/>
        <v>4</v>
      </c>
      <c r="B68" s="463"/>
      <c r="C68" s="415" t="s">
        <v>737</v>
      </c>
      <c r="D68" s="413"/>
      <c r="E68" s="383"/>
      <c r="F68" s="1641"/>
    </row>
    <row r="69" spans="1:9" ht="16">
      <c r="A69" s="611">
        <f t="shared" si="1"/>
        <v>5</v>
      </c>
      <c r="B69" s="463"/>
      <c r="C69" s="415"/>
      <c r="D69" s="413"/>
      <c r="E69" s="383"/>
      <c r="F69" s="1641"/>
    </row>
    <row r="70" spans="1:9" ht="16">
      <c r="A70" s="611">
        <f t="shared" si="1"/>
        <v>6</v>
      </c>
      <c r="B70" s="463"/>
      <c r="C70" s="415"/>
      <c r="D70" s="413"/>
      <c r="E70" s="383"/>
      <c r="F70" s="1641"/>
    </row>
    <row r="71" spans="1:9" ht="16">
      <c r="A71" s="611">
        <f t="shared" si="1"/>
        <v>7</v>
      </c>
      <c r="B71" s="464"/>
      <c r="C71" s="419"/>
      <c r="D71" s="413"/>
      <c r="E71" s="603"/>
      <c r="F71" s="1641"/>
    </row>
    <row r="72" spans="1:9" ht="17" thickBot="1">
      <c r="A72" s="1657"/>
      <c r="B72" s="1643"/>
      <c r="C72" s="1658" t="s">
        <v>738</v>
      </c>
      <c r="D72" s="1659">
        <f>SUM(D65:D71)</f>
        <v>0</v>
      </c>
      <c r="E72" s="1660">
        <f>SUM(E65:E71)</f>
        <v>0</v>
      </c>
      <c r="F72" s="1660">
        <f>SUM(F65:F71)</f>
        <v>0</v>
      </c>
    </row>
    <row r="73" spans="1:9" ht="16">
      <c r="A73" s="1661" t="s">
        <v>683</v>
      </c>
      <c r="B73" s="1662" t="str">
        <f>B64</f>
        <v>Kto.nr</v>
      </c>
      <c r="C73" s="1663" t="s">
        <v>739</v>
      </c>
      <c r="D73" s="1664">
        <f>budgetår-1</f>
        <v>2025</v>
      </c>
      <c r="E73" s="1665">
        <f>budgetår</f>
        <v>2026</v>
      </c>
      <c r="F73" s="1648" t="str">
        <f>"Ændringer til "&amp;$E$3+1&amp;""</f>
        <v>Ændringer til 2027</v>
      </c>
    </row>
    <row r="74" spans="1:9" ht="16">
      <c r="A74" s="425">
        <v>1</v>
      </c>
      <c r="B74" s="470"/>
      <c r="C74" s="426" t="s">
        <v>740</v>
      </c>
      <c r="D74" s="427"/>
      <c r="E74" s="428"/>
      <c r="F74" s="1628"/>
    </row>
    <row r="75" spans="1:9" ht="16">
      <c r="A75" s="610">
        <v>2</v>
      </c>
      <c r="B75" s="465"/>
      <c r="C75" s="393" t="s">
        <v>741</v>
      </c>
      <c r="D75" s="394"/>
      <c r="E75" s="394"/>
      <c r="F75" s="1628"/>
    </row>
    <row r="76" spans="1:9" ht="16">
      <c r="A76" s="611">
        <v>3</v>
      </c>
      <c r="B76" s="463"/>
      <c r="C76" s="383" t="s">
        <v>733</v>
      </c>
      <c r="D76" s="366"/>
      <c r="E76" s="394"/>
      <c r="F76" s="1628"/>
    </row>
    <row r="77" spans="1:9" ht="16">
      <c r="A77" s="611">
        <v>4</v>
      </c>
      <c r="B77" s="463"/>
      <c r="C77" s="383"/>
      <c r="D77" s="366"/>
      <c r="E77" s="383"/>
      <c r="F77" s="1628"/>
    </row>
    <row r="78" spans="1:9" ht="16">
      <c r="A78" s="395">
        <v>5</v>
      </c>
      <c r="B78" s="464"/>
      <c r="C78" s="396"/>
      <c r="D78" s="397"/>
      <c r="E78" s="396"/>
      <c r="F78" s="1628"/>
      <c r="H78" s="2845"/>
      <c r="I78" s="2845"/>
    </row>
    <row r="79" spans="1:9" ht="17" thickBot="1">
      <c r="A79" s="1666"/>
      <c r="B79" s="1667"/>
      <c r="C79" s="1668" t="s">
        <v>742</v>
      </c>
      <c r="D79" s="1669">
        <f>SUM(D74:D78)</f>
        <v>0</v>
      </c>
      <c r="E79" s="1669">
        <f>SUM(E74:E78)</f>
        <v>0</v>
      </c>
      <c r="F79" s="1669">
        <f>SUM(F74:F78)</f>
        <v>0</v>
      </c>
      <c r="H79" s="27"/>
    </row>
    <row r="80" spans="1:9" ht="16">
      <c r="A80" s="1647" t="s">
        <v>683</v>
      </c>
      <c r="B80" s="1635" t="str">
        <f>B73</f>
        <v>Kto.nr</v>
      </c>
      <c r="C80" s="1670" t="s">
        <v>743</v>
      </c>
      <c r="D80" s="1637">
        <f>budgetår-1</f>
        <v>2025</v>
      </c>
      <c r="E80" s="1638">
        <f>budgetår</f>
        <v>2026</v>
      </c>
      <c r="F80" s="1648" t="str">
        <f>"Ændringer til "&amp;$E$3+1&amp;""</f>
        <v>Ændringer til 2027</v>
      </c>
    </row>
    <row r="81" spans="1:6" ht="16">
      <c r="A81" s="610">
        <v>1</v>
      </c>
      <c r="B81" s="465"/>
      <c r="C81" s="1650" t="s">
        <v>744</v>
      </c>
      <c r="D81" s="418"/>
      <c r="E81" s="1640"/>
      <c r="F81" s="1649"/>
    </row>
    <row r="82" spans="1:6" ht="16">
      <c r="A82" s="611">
        <f t="shared" si="0"/>
        <v>2</v>
      </c>
      <c r="B82" s="463"/>
      <c r="C82" s="415" t="s">
        <v>745</v>
      </c>
      <c r="D82" s="413"/>
      <c r="E82" s="414"/>
      <c r="F82" s="1649"/>
    </row>
    <row r="83" spans="1:6" ht="15" customHeight="1">
      <c r="A83" s="611">
        <f t="shared" si="0"/>
        <v>3</v>
      </c>
      <c r="B83" s="463"/>
      <c r="C83" s="429" t="s">
        <v>746</v>
      </c>
      <c r="D83" s="413"/>
      <c r="E83" s="414"/>
      <c r="F83" s="1649"/>
    </row>
    <row r="84" spans="1:6" ht="16">
      <c r="A84" s="611">
        <f t="shared" si="0"/>
        <v>4</v>
      </c>
      <c r="B84" s="468"/>
      <c r="C84" s="613" t="s">
        <v>747</v>
      </c>
      <c r="D84" s="413"/>
      <c r="E84" s="430"/>
      <c r="F84" s="1649"/>
    </row>
    <row r="85" spans="1:6" ht="16">
      <c r="A85" s="611">
        <f t="shared" si="0"/>
        <v>5</v>
      </c>
      <c r="B85" s="464"/>
      <c r="C85" s="419"/>
      <c r="D85" s="413"/>
      <c r="E85" s="608"/>
      <c r="F85" s="1628"/>
    </row>
    <row r="86" spans="1:6" ht="17" thickBot="1">
      <c r="A86" s="1657"/>
      <c r="B86" s="1643"/>
      <c r="C86" s="1658" t="s">
        <v>748</v>
      </c>
      <c r="D86" s="1671">
        <f>SUM(D81:D85)</f>
        <v>0</v>
      </c>
      <c r="E86" s="653">
        <f>SUM(E81:E85)</f>
        <v>0</v>
      </c>
      <c r="F86" s="653">
        <f>SUM(F81:F85)</f>
        <v>0</v>
      </c>
    </row>
    <row r="87" spans="1:6" ht="16">
      <c r="A87" s="1634" t="s">
        <v>683</v>
      </c>
      <c r="B87" s="1635" t="str">
        <f>B80</f>
        <v>Kto.nr</v>
      </c>
      <c r="C87" s="1636" t="s">
        <v>749</v>
      </c>
      <c r="D87" s="1672">
        <f>budgetår-1</f>
        <v>2025</v>
      </c>
      <c r="E87" s="1638">
        <f>budgetår</f>
        <v>2026</v>
      </c>
      <c r="F87" s="1648" t="str">
        <f>"Ændringer til "&amp;$E$3+1&amp;""</f>
        <v>Ændringer til 2027</v>
      </c>
    </row>
    <row r="88" spans="1:6" ht="16">
      <c r="A88" s="1654">
        <v>1</v>
      </c>
      <c r="B88" s="1655"/>
      <c r="C88" s="1650" t="s">
        <v>750</v>
      </c>
      <c r="D88" s="1673"/>
      <c r="E88" s="1674"/>
      <c r="F88" s="1649"/>
    </row>
    <row r="89" spans="1:6" ht="16">
      <c r="A89" s="611">
        <f>A88+1</f>
        <v>2</v>
      </c>
      <c r="B89" s="463"/>
      <c r="C89" s="415"/>
      <c r="D89" s="431"/>
      <c r="E89" s="605"/>
      <c r="F89" s="1641"/>
    </row>
    <row r="90" spans="1:6" ht="16">
      <c r="A90" s="611">
        <f>A89+1</f>
        <v>3</v>
      </c>
      <c r="B90" s="463"/>
      <c r="C90" s="415"/>
      <c r="D90" s="432"/>
      <c r="E90" s="606"/>
      <c r="F90" s="1649"/>
    </row>
    <row r="91" spans="1:6" ht="34">
      <c r="A91" s="614">
        <f>A90+1</f>
        <v>4</v>
      </c>
      <c r="B91" s="471"/>
      <c r="C91" s="433" t="s">
        <v>751</v>
      </c>
      <c r="D91" s="434"/>
      <c r="E91" s="607"/>
      <c r="F91" s="1641"/>
    </row>
    <row r="92" spans="1:6" ht="17" thickBot="1">
      <c r="A92" s="1642"/>
      <c r="B92" s="1643"/>
      <c r="C92" s="1644" t="s">
        <v>752</v>
      </c>
      <c r="D92" s="1645">
        <f>SUM(D88:D91)</f>
        <v>0</v>
      </c>
      <c r="E92" s="1646">
        <f>SUM(E88:E91)</f>
        <v>0</v>
      </c>
      <c r="F92" s="1646">
        <f>SUM(F88:F91)</f>
        <v>0</v>
      </c>
    </row>
    <row r="93" spans="1:6" ht="16">
      <c r="A93" s="1675" t="s">
        <v>683</v>
      </c>
      <c r="B93" s="1676" t="str">
        <f>B87</f>
        <v>Kto.nr</v>
      </c>
      <c r="C93" s="1677" t="s">
        <v>753</v>
      </c>
      <c r="D93" s="1678">
        <f>budgetår-1</f>
        <v>2025</v>
      </c>
      <c r="E93" s="1679">
        <f>budgetår</f>
        <v>2026</v>
      </c>
      <c r="F93" s="1648" t="str">
        <f>"Ændringer til "&amp;$E$3+1&amp;""</f>
        <v>Ændringer til 2027</v>
      </c>
    </row>
    <row r="94" spans="1:6" ht="16">
      <c r="A94" s="611">
        <v>1</v>
      </c>
      <c r="B94" s="463"/>
      <c r="C94" s="383" t="s">
        <v>754</v>
      </c>
      <c r="D94" s="413"/>
      <c r="E94" s="1640"/>
      <c r="F94" s="1627"/>
    </row>
    <row r="95" spans="1:6" ht="16">
      <c r="A95" s="611">
        <f>A94+1</f>
        <v>2</v>
      </c>
      <c r="B95" s="463"/>
      <c r="C95" s="383" t="s">
        <v>755</v>
      </c>
      <c r="D95" s="413"/>
      <c r="E95" s="414"/>
      <c r="F95" s="1627"/>
    </row>
    <row r="96" spans="1:6" ht="16">
      <c r="A96" s="611">
        <f t="shared" ref="A96:A108" si="2">A95+1</f>
        <v>3</v>
      </c>
      <c r="B96" s="463"/>
      <c r="C96" s="383" t="s">
        <v>756</v>
      </c>
      <c r="D96" s="413"/>
      <c r="E96" s="414"/>
      <c r="F96" s="1627"/>
    </row>
    <row r="97" spans="1:6" ht="16">
      <c r="A97" s="611">
        <f t="shared" si="2"/>
        <v>4</v>
      </c>
      <c r="B97" s="463"/>
      <c r="C97" s="383"/>
      <c r="D97" s="413"/>
      <c r="E97" s="414"/>
      <c r="F97" s="1627"/>
    </row>
    <row r="98" spans="1:6" ht="16">
      <c r="A98" s="611">
        <f t="shared" si="2"/>
        <v>5</v>
      </c>
      <c r="B98" s="463"/>
      <c r="C98" s="383"/>
      <c r="D98" s="413"/>
      <c r="E98" s="414"/>
      <c r="F98" s="1627"/>
    </row>
    <row r="99" spans="1:6" ht="16">
      <c r="A99" s="611">
        <f t="shared" si="2"/>
        <v>6</v>
      </c>
      <c r="B99" s="463"/>
      <c r="C99" s="383"/>
      <c r="D99" s="413"/>
      <c r="E99" s="414"/>
      <c r="F99" s="1627"/>
    </row>
    <row r="100" spans="1:6" ht="16">
      <c r="A100" s="611">
        <f t="shared" si="2"/>
        <v>7</v>
      </c>
      <c r="B100" s="463"/>
      <c r="C100" s="383"/>
      <c r="D100" s="413"/>
      <c r="E100" s="414"/>
      <c r="F100" s="1627"/>
    </row>
    <row r="101" spans="1:6" ht="16">
      <c r="A101" s="611">
        <f t="shared" si="2"/>
        <v>8</v>
      </c>
      <c r="B101" s="463"/>
      <c r="C101" s="383"/>
      <c r="D101" s="413"/>
      <c r="E101" s="414"/>
      <c r="F101" s="1628"/>
    </row>
    <row r="102" spans="1:6" ht="16">
      <c r="A102" s="611">
        <f t="shared" si="2"/>
        <v>9</v>
      </c>
      <c r="B102" s="464"/>
      <c r="C102" s="396"/>
      <c r="D102" s="413"/>
      <c r="E102" s="414"/>
      <c r="F102" s="1627"/>
    </row>
    <row r="103" spans="1:6" ht="16">
      <c r="A103" s="611">
        <f t="shared" si="2"/>
        <v>10</v>
      </c>
      <c r="B103" s="463"/>
      <c r="C103" s="415"/>
      <c r="D103" s="413"/>
      <c r="E103" s="383"/>
      <c r="F103" s="1627"/>
    </row>
    <row r="104" spans="1:6" ht="16">
      <c r="A104" s="611">
        <f t="shared" si="2"/>
        <v>11</v>
      </c>
      <c r="B104" s="463"/>
      <c r="C104" s="415"/>
      <c r="D104" s="413"/>
      <c r="E104" s="383"/>
      <c r="F104" s="1627"/>
    </row>
    <row r="105" spans="1:6" ht="16">
      <c r="A105" s="611">
        <f t="shared" si="2"/>
        <v>12</v>
      </c>
      <c r="B105" s="463"/>
      <c r="C105" s="415"/>
      <c r="D105" s="413"/>
      <c r="E105" s="383"/>
      <c r="F105" s="1627"/>
    </row>
    <row r="106" spans="1:6" ht="16">
      <c r="A106" s="611">
        <f t="shared" si="2"/>
        <v>13</v>
      </c>
      <c r="B106" s="463"/>
      <c r="C106" s="415"/>
      <c r="D106" s="413"/>
      <c r="E106" s="383"/>
      <c r="F106" s="1627"/>
    </row>
    <row r="107" spans="1:6" ht="16">
      <c r="A107" s="611">
        <f t="shared" si="2"/>
        <v>14</v>
      </c>
      <c r="B107" s="463"/>
      <c r="C107" s="415"/>
      <c r="D107" s="413"/>
      <c r="E107" s="383"/>
      <c r="F107" s="1627"/>
    </row>
    <row r="108" spans="1:6" ht="16">
      <c r="A108" s="395">
        <f t="shared" si="2"/>
        <v>15</v>
      </c>
      <c r="B108" s="464"/>
      <c r="C108" s="416"/>
      <c r="D108" s="413"/>
      <c r="E108" s="603"/>
      <c r="F108" s="1627"/>
    </row>
    <row r="109" spans="1:6" ht="17" thickBot="1">
      <c r="A109" s="1629"/>
      <c r="B109" s="1630"/>
      <c r="C109" s="1631" t="s">
        <v>757</v>
      </c>
      <c r="D109" s="1632">
        <f>SUM(D94:D108)</f>
        <v>0</v>
      </c>
      <c r="E109" s="1633">
        <f>SUM(E94:E108)</f>
        <v>0</v>
      </c>
      <c r="F109" s="1633">
        <f>SUM(F94:F108)</f>
        <v>0</v>
      </c>
    </row>
    <row r="110" spans="1:6" ht="17" thickBot="1">
      <c r="A110" s="1634" t="s">
        <v>683</v>
      </c>
      <c r="B110" s="1635" t="str">
        <f>B93</f>
        <v>Kto.nr</v>
      </c>
      <c r="C110" s="1680" t="s">
        <v>758</v>
      </c>
      <c r="D110" s="1637">
        <f>budgetår-1</f>
        <v>2025</v>
      </c>
      <c r="E110" s="1638">
        <f>budgetår</f>
        <v>2026</v>
      </c>
      <c r="F110" s="890" t="str">
        <f>"Ændringer til "&amp;$E$3+1&amp;""</f>
        <v>Ændringer til 2027</v>
      </c>
    </row>
    <row r="111" spans="1:6" ht="17" thickBot="1">
      <c r="A111" s="615">
        <v>1</v>
      </c>
      <c r="B111" s="666"/>
      <c r="C111" s="616" t="str">
        <f>"Tilsynsførende med et elevtal på "&amp;elevtal_1</f>
        <v>Tilsynsførende med et elevtal på 0</v>
      </c>
      <c r="D111" s="1681">
        <f>IF(Forside!D31=0,0,IF(Forside!D31&lt;55,Tilsyn1,IF(AND(54&lt;Forside!D31,Forside!D31&lt;110),Tilsyn2,IF(AND(109&lt;Forside!D31,Forside!D31&lt;220),Tilsyn3,IF(219&lt;Forside!D31,Tilsyn4)))))</f>
        <v>0</v>
      </c>
      <c r="E111" s="1682">
        <f>IF(elevtal_1=0,0,IF(elevtal_1&lt;55,Tilsyn1,IF(AND(54&lt;elevtal_1,elevtal_1&lt;110),Tilsyn2,IF(AND(109&lt;elevtal_1,elevtal_1&lt;220),Tilsyn3,IF(219&lt;elevtal_1,Tilsyn4)))))</f>
        <v>0</v>
      </c>
      <c r="F111" s="654"/>
    </row>
    <row r="112" spans="1:6" ht="16">
      <c r="A112" s="1642"/>
      <c r="B112" s="1630"/>
      <c r="C112" s="1683" t="s">
        <v>759</v>
      </c>
      <c r="D112" s="435">
        <f>SUM(D111)</f>
        <v>0</v>
      </c>
      <c r="E112" s="436">
        <f>SUM(E111)</f>
        <v>0</v>
      </c>
      <c r="F112" s="436">
        <f>SUM(F111)</f>
        <v>0</v>
      </c>
    </row>
    <row r="113" spans="1:6" ht="17" thickBot="1">
      <c r="A113" s="1684"/>
      <c r="B113" s="891"/>
      <c r="C113" s="892" t="str">
        <f>"Underv.udg. i alt til hovedskema lin. 39 "</f>
        <v xml:space="preserve">Underv.udg. i alt til hovedskema lin. 39 </v>
      </c>
      <c r="D113" s="893">
        <f>D20+D26+D39+D52+D59+D63+D72+D92+D109+D111+D86+D79+D32</f>
        <v>0</v>
      </c>
      <c r="E113" s="894">
        <f>E112+E109+E92+E86+E79+E72+E63+E59+E52+E39+E32+E26+E20</f>
        <v>0</v>
      </c>
      <c r="F113" s="894">
        <f>F112+F109+F92+F86+F79+F72+F63+F59+F52+F39+F32+F26+F20</f>
        <v>0</v>
      </c>
    </row>
    <row r="114" spans="1:6" ht="17" thickBot="1">
      <c r="A114" s="3143"/>
      <c r="B114" s="3143"/>
      <c r="C114" s="3143"/>
      <c r="D114" s="3143"/>
      <c r="E114" s="3144"/>
      <c r="F114" s="382"/>
    </row>
    <row r="115" spans="1:6" ht="17" thickBot="1">
      <c r="A115" s="1685" t="s">
        <v>683</v>
      </c>
      <c r="B115" s="1686" t="str">
        <f>B3</f>
        <v>Kto.nr</v>
      </c>
      <c r="C115" s="1687" t="s">
        <v>760</v>
      </c>
      <c r="D115" s="1688">
        <f>budgetår-1</f>
        <v>2025</v>
      </c>
      <c r="E115" s="1689">
        <f>budgetår</f>
        <v>2026</v>
      </c>
      <c r="F115" s="890" t="str">
        <f>"Ændringer til "&amp;$E$3+1&amp;""</f>
        <v>Ændringer til 2027</v>
      </c>
    </row>
    <row r="116" spans="1:6" ht="16">
      <c r="A116" s="818">
        <v>1</v>
      </c>
      <c r="B116" s="1690"/>
      <c r="C116" s="437" t="s">
        <v>761</v>
      </c>
      <c r="D116" s="438"/>
      <c r="E116" s="651"/>
      <c r="F116" s="1691"/>
    </row>
    <row r="117" spans="1:6" ht="16">
      <c r="A117" s="818">
        <f>A116+1</f>
        <v>2</v>
      </c>
      <c r="B117" s="472"/>
      <c r="C117" s="439" t="s">
        <v>762</v>
      </c>
      <c r="D117" s="440"/>
      <c r="E117" s="441"/>
      <c r="F117" s="1628"/>
    </row>
    <row r="118" spans="1:6" ht="16">
      <c r="A118" s="818">
        <v>3</v>
      </c>
      <c r="B118" s="472"/>
      <c r="C118" s="439" t="s">
        <v>763</v>
      </c>
      <c r="D118" s="440"/>
      <c r="E118" s="442"/>
      <c r="F118" s="1628"/>
    </row>
    <row r="119" spans="1:6" ht="16">
      <c r="A119" s="818">
        <f>A118+1</f>
        <v>4</v>
      </c>
      <c r="B119" s="472"/>
      <c r="C119" s="439" t="s">
        <v>730</v>
      </c>
      <c r="D119" s="440"/>
      <c r="E119" s="441"/>
      <c r="F119" s="1628"/>
    </row>
    <row r="120" spans="1:6" ht="16">
      <c r="A120" s="818">
        <f>A119+1</f>
        <v>5</v>
      </c>
      <c r="B120" s="472"/>
      <c r="C120" s="439" t="s">
        <v>734</v>
      </c>
      <c r="D120" s="440"/>
      <c r="E120" s="441"/>
      <c r="F120" s="1628"/>
    </row>
    <row r="121" spans="1:6" ht="16">
      <c r="A121" s="818">
        <v>6</v>
      </c>
      <c r="B121" s="472"/>
      <c r="C121" s="439" t="s">
        <v>735</v>
      </c>
      <c r="D121" s="440"/>
      <c r="E121" s="442"/>
      <c r="F121" s="1628"/>
    </row>
    <row r="122" spans="1:6" ht="16">
      <c r="A122" s="818">
        <v>7</v>
      </c>
      <c r="B122" s="472"/>
      <c r="C122" s="439" t="s">
        <v>736</v>
      </c>
      <c r="D122" s="440"/>
      <c r="E122" s="441"/>
      <c r="F122" s="1628"/>
    </row>
    <row r="123" spans="1:6" ht="16">
      <c r="A123" s="818">
        <f>A122+1</f>
        <v>8</v>
      </c>
      <c r="B123" s="472"/>
      <c r="C123" s="439" t="s">
        <v>764</v>
      </c>
      <c r="D123" s="440"/>
      <c r="E123" s="441"/>
      <c r="F123" s="1628"/>
    </row>
    <row r="124" spans="1:6" ht="16">
      <c r="A124" s="818">
        <f>A123+1</f>
        <v>9</v>
      </c>
      <c r="B124" s="472"/>
      <c r="C124" s="439" t="s">
        <v>753</v>
      </c>
      <c r="D124" s="440"/>
      <c r="E124" s="441"/>
      <c r="F124" s="1628"/>
    </row>
    <row r="125" spans="1:6" ht="16">
      <c r="A125" s="818">
        <f>A124+1</f>
        <v>10</v>
      </c>
      <c r="B125" s="472"/>
      <c r="C125" s="439"/>
      <c r="D125" s="440"/>
      <c r="E125" s="652"/>
      <c r="F125" s="1628"/>
    </row>
    <row r="126" spans="1:6" ht="16">
      <c r="A126" s="818">
        <f>A125+1</f>
        <v>11</v>
      </c>
      <c r="B126" s="472"/>
      <c r="C126" s="439"/>
      <c r="D126" s="440"/>
      <c r="E126" s="652"/>
      <c r="F126" s="1628"/>
    </row>
    <row r="127" spans="1:6" ht="16">
      <c r="A127" s="818">
        <f>A126+1</f>
        <v>12</v>
      </c>
      <c r="B127" s="472"/>
      <c r="C127" s="439"/>
      <c r="D127" s="440"/>
      <c r="E127" s="652"/>
      <c r="F127" s="1628"/>
    </row>
    <row r="128" spans="1:6" ht="17" thickBot="1">
      <c r="A128" s="895">
        <v>13</v>
      </c>
      <c r="B128" s="473"/>
      <c r="C128" s="443" t="s">
        <v>765</v>
      </c>
      <c r="D128" s="440"/>
      <c r="E128" s="652"/>
      <c r="F128" s="1692"/>
    </row>
    <row r="129" spans="1:6" ht="17" thickBot="1">
      <c r="A129" s="1693" t="str">
        <f>"SFO udgifter i alt til hovedskema lin. 40 "</f>
        <v xml:space="preserve">SFO udgifter i alt til hovedskema lin. 40 </v>
      </c>
      <c r="B129" s="896"/>
      <c r="C129" s="897"/>
      <c r="D129" s="604">
        <f>SUM(D116:D128)</f>
        <v>0</v>
      </c>
      <c r="E129" s="898">
        <f>SUM(E116:E128)</f>
        <v>0</v>
      </c>
      <c r="F129" s="898">
        <f>SUM(F116:F128)</f>
        <v>0</v>
      </c>
    </row>
    <row r="130" spans="1:6" ht="16">
      <c r="A130" s="388"/>
      <c r="B130" s="617" t="str">
        <f>"Ændringer undervisningsudgifter "&amp;E3+1&amp;" i forhold til "&amp;E3&amp;" i alt:"</f>
        <v>Ændringer undervisningsudgifter 2027 i forhold til 2026 i alt:</v>
      </c>
      <c r="C130" s="618"/>
      <c r="D130" s="618"/>
      <c r="E130" s="618"/>
      <c r="F130" s="619">
        <f>SUM(F4:F19)+SUM(F22:F25)+SUM(F28:F31)+SUM(F34:F38)+SUM(F41:F51)+SUM(F54:F58)+SUM(F61:F62)+SUM(F65:F71)+SUM(F74:F78)+SUM(F81:F85)+SUM(F88:F91)+SUM(F94:F108)</f>
        <v>0</v>
      </c>
    </row>
    <row r="131" spans="1:6">
      <c r="A131" s="9"/>
      <c r="B131" s="620" t="str">
        <f>"Ændringer i udgifter til SFO "&amp;E3+1&amp;" i forhold til "&amp;E3&amp;" i alt:"</f>
        <v>Ændringer i udgifter til SFO 2027 i forhold til 2026 i alt:</v>
      </c>
      <c r="C131" s="621"/>
      <c r="D131" s="621"/>
      <c r="E131" s="621"/>
      <c r="F131" s="621">
        <f>SUM(F116:F128)</f>
        <v>0</v>
      </c>
    </row>
    <row r="132" spans="1:6">
      <c r="A132" s="2845"/>
      <c r="B132" s="2845"/>
      <c r="C132" s="2845"/>
      <c r="F132" s="29"/>
    </row>
    <row r="133" spans="1:6">
      <c r="A133" s="30"/>
      <c r="B133" s="30"/>
      <c r="C133" s="30"/>
    </row>
  </sheetData>
  <sheetProtection sheet="1" formatCells="0" formatColumns="0" formatRows="0" insertRows="0"/>
  <mergeCells count="4">
    <mergeCell ref="H78:I78"/>
    <mergeCell ref="A132:C132"/>
    <mergeCell ref="A114:E114"/>
    <mergeCell ref="A2:C2"/>
  </mergeCells>
  <phoneticPr fontId="55" type="noConversion"/>
  <dataValidations count="1">
    <dataValidation type="whole" allowBlank="1" showInputMessage="1" showErrorMessage="1" sqref="D38:E38 D48:E51 D57:E58 D91:E91" xr:uid="{00000000-0002-0000-0900-000000000000}">
      <formula1>-1000000</formula1>
      <formula2>0</formula2>
    </dataValidation>
  </dataValidations>
  <printOptions horizontalCentered="1"/>
  <pageMargins left="0.79" right="0.67" top="0.98" bottom="0.83" header="0.51" footer="0.51"/>
  <pageSetup paperSize="9" scale="64" fitToHeight="2" orientation="portrait" horizontalDpi="4294967292" verticalDpi="4294967292"/>
  <headerFooter alignWithMargins="0">
    <oddHeader>&amp;C&amp;"Arial,Fed"&amp;12Undervisnings- omkostninger</oddHeader>
    <oddFooter>&amp;L&amp;G&amp;R
&amp;D
&amp;A</oddFooter>
  </headerFooter>
  <rowBreaks count="1" manualBreakCount="1">
    <brk id="72" max="5" man="1"/>
  </rowBreaks>
  <drawing r:id="rId1"/>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Q47"/>
  <sheetViews>
    <sheetView workbookViewId="0">
      <selection activeCell="M35" sqref="M35:N35"/>
    </sheetView>
  </sheetViews>
  <sheetFormatPr baseColWidth="10" defaultColWidth="11.5" defaultRowHeight="13"/>
  <cols>
    <col min="2" max="2" width="15.5" customWidth="1"/>
    <col min="3" max="3" width="19.5" customWidth="1"/>
    <col min="4" max="4" width="25.5" customWidth="1"/>
    <col min="5" max="12" width="10.83203125" customWidth="1"/>
    <col min="13" max="13" width="15.83203125" customWidth="1"/>
    <col min="14" max="14" width="16.5" customWidth="1"/>
  </cols>
  <sheetData>
    <row r="1" spans="1:17" ht="36" customHeight="1" thickBot="1"/>
    <row r="2" spans="1:17" ht="13" customHeight="1">
      <c r="A2" s="3167" t="str">
        <f>"Heltidsskolefritidsordning budgetopstilling for "&amp;budgetår&amp;" samt "&amp;budgetår+1&amp;":"</f>
        <v>Heltidsskolefritidsordning budgetopstilling for 2026 samt 2027:</v>
      </c>
      <c r="B2" s="3168"/>
      <c r="C2" s="3168"/>
      <c r="D2" s="3168"/>
      <c r="E2" s="3168"/>
      <c r="F2" s="3168"/>
      <c r="G2" s="3168"/>
      <c r="H2" s="3168"/>
      <c r="I2" s="3168"/>
      <c r="J2" s="3168"/>
      <c r="K2" s="3168"/>
      <c r="L2" s="3168"/>
      <c r="M2" s="3168"/>
      <c r="N2" s="3169"/>
    </row>
    <row r="3" spans="1:17" ht="14" customHeight="1" thickBot="1">
      <c r="A3" s="3170"/>
      <c r="B3" s="3171"/>
      <c r="C3" s="3171"/>
      <c r="D3" s="3171"/>
      <c r="E3" s="3171"/>
      <c r="F3" s="3171"/>
      <c r="G3" s="3171"/>
      <c r="H3" s="3171"/>
      <c r="I3" s="3171"/>
      <c r="J3" s="3171"/>
      <c r="K3" s="3171"/>
      <c r="L3" s="3171"/>
      <c r="M3" s="3171"/>
      <c r="N3" s="3172"/>
    </row>
    <row r="4" spans="1:17" ht="35" customHeight="1" thickBot="1">
      <c r="A4" s="3173" t="s">
        <v>766</v>
      </c>
      <c r="B4" s="1694"/>
      <c r="C4" s="819" t="s">
        <v>767</v>
      </c>
      <c r="D4" s="1695" t="s">
        <v>768</v>
      </c>
      <c r="E4" s="3182" t="s">
        <v>769</v>
      </c>
      <c r="F4" s="3192"/>
      <c r="G4" s="3192"/>
      <c r="H4" s="3192"/>
      <c r="I4" s="3192"/>
      <c r="J4" s="3192"/>
      <c r="K4" s="3192"/>
      <c r="L4" s="3183"/>
      <c r="M4" s="3182" t="s">
        <v>770</v>
      </c>
      <c r="N4" s="3183"/>
      <c r="O4" s="506"/>
      <c r="P4" s="506"/>
      <c r="Q4" s="506"/>
    </row>
    <row r="5" spans="1:17" ht="43" thickBot="1">
      <c r="A5" s="3173"/>
      <c r="B5" s="820" t="s">
        <v>771</v>
      </c>
      <c r="C5" s="1696" t="s">
        <v>767</v>
      </c>
      <c r="D5" s="1696" t="s">
        <v>772</v>
      </c>
      <c r="E5" s="1697" t="s">
        <v>773</v>
      </c>
      <c r="F5" s="1698" t="s">
        <v>774</v>
      </c>
      <c r="G5" s="1698" t="s">
        <v>775</v>
      </c>
      <c r="H5" s="1698" t="s">
        <v>776</v>
      </c>
      <c r="I5" s="1698" t="s">
        <v>777</v>
      </c>
      <c r="J5" s="1698" t="s">
        <v>778</v>
      </c>
      <c r="K5" s="1699" t="s">
        <v>779</v>
      </c>
      <c r="L5" s="1699" t="s">
        <v>780</v>
      </c>
      <c r="M5" s="1700" t="s">
        <v>781</v>
      </c>
      <c r="N5" s="1701" t="s">
        <v>782</v>
      </c>
      <c r="O5" s="186"/>
      <c r="P5" s="186"/>
      <c r="Q5" s="506"/>
    </row>
    <row r="6" spans="1:17" ht="16">
      <c r="A6" s="1702"/>
      <c r="B6" s="511" t="s">
        <v>358</v>
      </c>
      <c r="C6" s="1703"/>
      <c r="D6" s="1704"/>
      <c r="E6" s="1705"/>
      <c r="F6" s="899"/>
      <c r="G6" s="899"/>
      <c r="H6" s="899"/>
      <c r="I6" s="899"/>
      <c r="J6" s="899"/>
      <c r="K6" s="899"/>
      <c r="L6" s="899"/>
      <c r="M6" s="1706">
        <f t="shared" ref="M6:M11" si="0">SUM(E6:L6)*C6-(L6*C6)</f>
        <v>0</v>
      </c>
      <c r="N6" s="1707" cm="1">
        <f t="array" ref="N6">SUM((E6:L6)*D6)-K6*D6</f>
        <v>0</v>
      </c>
      <c r="O6" s="309">
        <f>SUM(E6:J11)</f>
        <v>0</v>
      </c>
      <c r="P6" s="186"/>
      <c r="Q6" s="506"/>
    </row>
    <row r="7" spans="1:17" ht="16">
      <c r="A7" s="1708"/>
      <c r="B7" s="821" t="s">
        <v>359</v>
      </c>
      <c r="C7" s="1703"/>
      <c r="D7" s="1704"/>
      <c r="E7" s="1709"/>
      <c r="F7" s="1710"/>
      <c r="G7" s="1710"/>
      <c r="H7" s="1710"/>
      <c r="I7" s="1710"/>
      <c r="J7" s="1710"/>
      <c r="K7" s="1710"/>
      <c r="L7" s="1710"/>
      <c r="M7" s="1711">
        <f t="shared" si="0"/>
        <v>0</v>
      </c>
      <c r="N7" s="1712" cm="1">
        <f t="array" ref="N7">SUM((E7:L7)*D7)-(K7*D7)</f>
        <v>0</v>
      </c>
      <c r="O7" s="309"/>
      <c r="P7" s="186"/>
      <c r="Q7" s="506"/>
    </row>
    <row r="8" spans="1:17" ht="16">
      <c r="A8" s="1708"/>
      <c r="B8" s="821" t="s">
        <v>360</v>
      </c>
      <c r="C8" s="1713"/>
      <c r="D8" s="1714"/>
      <c r="E8" s="1709"/>
      <c r="F8" s="1710"/>
      <c r="G8" s="1710"/>
      <c r="H8" s="1710"/>
      <c r="I8" s="1710"/>
      <c r="J8" s="1710"/>
      <c r="K8" s="1710"/>
      <c r="L8" s="1710"/>
      <c r="M8" s="1711">
        <f t="shared" si="0"/>
        <v>0</v>
      </c>
      <c r="N8" s="1712" cm="1">
        <f t="array" ref="N8">SUM((E8:L8)*D8)-(K8*D8)</f>
        <v>0</v>
      </c>
      <c r="O8" s="309">
        <f>O6-O7</f>
        <v>0</v>
      </c>
      <c r="P8" s="186"/>
      <c r="Q8" s="506"/>
    </row>
    <row r="9" spans="1:17" ht="16">
      <c r="A9" s="1708"/>
      <c r="B9" s="821" t="s">
        <v>361</v>
      </c>
      <c r="C9" s="1703"/>
      <c r="D9" s="1704"/>
      <c r="E9" s="1709"/>
      <c r="F9" s="1710"/>
      <c r="G9" s="1710"/>
      <c r="H9" s="1710"/>
      <c r="I9" s="1710"/>
      <c r="J9" s="1710"/>
      <c r="K9" s="1710"/>
      <c r="L9" s="1710"/>
      <c r="M9" s="1711">
        <f t="shared" si="0"/>
        <v>0</v>
      </c>
      <c r="N9" s="1712" cm="1">
        <f t="array" ref="N9">SUM((E9:L9)*D9)-(K9*D9)</f>
        <v>0</v>
      </c>
      <c r="O9" s="186">
        <f>COUNTIF(E6:J6,"&gt;0")</f>
        <v>0</v>
      </c>
      <c r="P9" s="186">
        <f>COUNTIF(K6,"&gt;0")</f>
        <v>0</v>
      </c>
      <c r="Q9" s="506"/>
    </row>
    <row r="10" spans="1:17" ht="16">
      <c r="A10" s="1708"/>
      <c r="B10" s="822" t="s">
        <v>362</v>
      </c>
      <c r="C10" s="1713"/>
      <c r="D10" s="1714"/>
      <c r="E10" s="1709"/>
      <c r="F10" s="1710"/>
      <c r="G10" s="1710"/>
      <c r="H10" s="1710"/>
      <c r="I10" s="1710"/>
      <c r="J10" s="1710"/>
      <c r="K10" s="1710"/>
      <c r="L10" s="1710"/>
      <c r="M10" s="1711">
        <f t="shared" si="0"/>
        <v>0</v>
      </c>
      <c r="N10" s="1712" cm="1">
        <f t="array" ref="N10">SUM((E10:L10)*D10)-(K10*D10)</f>
        <v>0</v>
      </c>
      <c r="O10" s="186" t="e">
        <f>O8/O9</f>
        <v>#DIV/0!</v>
      </c>
      <c r="P10" s="186"/>
      <c r="Q10" s="506"/>
    </row>
    <row r="11" spans="1:17" ht="17" thickBot="1">
      <c r="A11" s="1715"/>
      <c r="B11" s="822" t="s">
        <v>363</v>
      </c>
      <c r="C11" s="1716"/>
      <c r="D11" s="1717"/>
      <c r="E11" s="1718"/>
      <c r="F11" s="1719"/>
      <c r="G11" s="1719"/>
      <c r="H11" s="1719"/>
      <c r="I11" s="1719"/>
      <c r="J11" s="1719"/>
      <c r="K11" s="1719"/>
      <c r="L11" s="1719"/>
      <c r="M11" s="1711">
        <f t="shared" si="0"/>
        <v>0</v>
      </c>
      <c r="N11" s="1712" cm="1">
        <f t="array" ref="N11">SUM((E11:L11)*D11)-(K11*D11)</f>
        <v>0</v>
      </c>
      <c r="O11" s="186"/>
      <c r="P11" s="186"/>
      <c r="Q11" s="506"/>
    </row>
    <row r="12" spans="1:17" ht="17" thickBot="1">
      <c r="A12" s="3174" t="str">
        <f>"Indtægter i alt til hovedskema. Lin. 20 og 27"</f>
        <v>Indtægter i alt til hovedskema. Lin. 20 og 27</v>
      </c>
      <c r="B12" s="3174"/>
      <c r="C12" s="3174"/>
      <c r="D12" s="3174"/>
      <c r="E12" s="3174"/>
      <c r="F12" s="3174"/>
      <c r="G12" s="3174"/>
      <c r="H12" s="3174"/>
      <c r="I12" s="3174"/>
      <c r="J12" s="3174"/>
      <c r="K12" s="3174"/>
      <c r="L12" s="3175"/>
      <c r="M12" s="512">
        <f>SUM(M6:M11)</f>
        <v>0</v>
      </c>
      <c r="N12" s="513">
        <f>SUM(N6:N11)</f>
        <v>0</v>
      </c>
      <c r="O12" s="186"/>
      <c r="P12" s="506"/>
      <c r="Q12" s="506"/>
    </row>
    <row r="13" spans="1:17" ht="13" customHeight="1">
      <c r="A13" s="3176" t="s">
        <v>783</v>
      </c>
      <c r="B13" s="3177"/>
      <c r="C13" s="3177"/>
      <c r="D13" s="3177"/>
      <c r="E13" s="3177"/>
      <c r="F13" s="3177"/>
      <c r="G13" s="3177"/>
      <c r="H13" s="3177"/>
      <c r="I13" s="3177"/>
      <c r="J13" s="3177"/>
      <c r="K13" s="3177"/>
      <c r="L13" s="3177"/>
      <c r="M13" s="3177"/>
      <c r="N13" s="3178"/>
      <c r="O13" s="186"/>
      <c r="P13" s="506"/>
      <c r="Q13" s="506"/>
    </row>
    <row r="14" spans="1:17" ht="14" customHeight="1" thickBot="1">
      <c r="A14" s="3179"/>
      <c r="B14" s="3180"/>
      <c r="C14" s="3180"/>
      <c r="D14" s="3180"/>
      <c r="E14" s="3180"/>
      <c r="F14" s="3180"/>
      <c r="G14" s="3180"/>
      <c r="H14" s="3180"/>
      <c r="I14" s="3180"/>
      <c r="J14" s="3180"/>
      <c r="K14" s="3180"/>
      <c r="L14" s="3180"/>
      <c r="M14" s="3180"/>
      <c r="N14" s="3181"/>
    </row>
    <row r="15" spans="1:17" ht="16">
      <c r="A15" s="1720"/>
      <c r="B15" s="1721" t="s">
        <v>761</v>
      </c>
      <c r="C15" s="508"/>
      <c r="D15" s="508"/>
      <c r="E15" s="508"/>
      <c r="F15" s="508"/>
      <c r="G15" s="508"/>
      <c r="H15" s="508"/>
      <c r="I15" s="508"/>
      <c r="J15" s="508"/>
      <c r="K15" s="508"/>
      <c r="L15" s="508"/>
      <c r="M15" s="3184"/>
      <c r="N15" s="3185"/>
    </row>
    <row r="16" spans="1:17" ht="16">
      <c r="A16" s="1708"/>
      <c r="B16" s="1722" t="s">
        <v>708</v>
      </c>
      <c r="C16" s="1723"/>
      <c r="D16" s="1723"/>
      <c r="E16" s="1723"/>
      <c r="F16" s="1723"/>
      <c r="G16" s="1723"/>
      <c r="H16" s="1723"/>
      <c r="I16" s="1723"/>
      <c r="J16" s="1723"/>
      <c r="K16" s="1723"/>
      <c r="L16" s="1723"/>
      <c r="M16" s="3186"/>
      <c r="N16" s="3187"/>
    </row>
    <row r="17" spans="1:14" ht="16">
      <c r="A17" s="1708"/>
      <c r="B17" s="1722"/>
      <c r="C17" s="1723"/>
      <c r="D17" s="1723"/>
      <c r="E17" s="1723"/>
      <c r="F17" s="1723"/>
      <c r="G17" s="1723"/>
      <c r="H17" s="1723"/>
      <c r="I17" s="1723"/>
      <c r="J17" s="1723"/>
      <c r="K17" s="1723"/>
      <c r="L17" s="1723"/>
      <c r="M17" s="3186"/>
      <c r="N17" s="3187"/>
    </row>
    <row r="18" spans="1:14" ht="16">
      <c r="A18" s="1708"/>
      <c r="B18" s="1722"/>
      <c r="C18" s="1723"/>
      <c r="D18" s="1723"/>
      <c r="E18" s="1723"/>
      <c r="F18" s="1723"/>
      <c r="G18" s="1723"/>
      <c r="H18" s="1723"/>
      <c r="I18" s="1723"/>
      <c r="J18" s="1723"/>
      <c r="K18" s="1723"/>
      <c r="L18" s="1723"/>
      <c r="M18" s="3186"/>
      <c r="N18" s="3187"/>
    </row>
    <row r="19" spans="1:14" ht="17" thickBot="1">
      <c r="A19" s="1715"/>
      <c r="B19" s="1722"/>
      <c r="C19" s="1723"/>
      <c r="D19" s="1723"/>
      <c r="E19" s="1723"/>
      <c r="F19" s="1723"/>
      <c r="G19" s="1723"/>
      <c r="H19" s="1723"/>
      <c r="I19" s="1723"/>
      <c r="J19" s="1723"/>
      <c r="K19" s="1723"/>
      <c r="L19" s="1723"/>
      <c r="M19" s="3188"/>
      <c r="N19" s="3189"/>
    </row>
    <row r="20" spans="1:14" ht="17" thickBot="1">
      <c r="A20" s="3193" t="s">
        <v>784</v>
      </c>
      <c r="B20" s="3193"/>
      <c r="C20" s="3193"/>
      <c r="D20" s="3193"/>
      <c r="E20" s="3193"/>
      <c r="F20" s="3193"/>
      <c r="G20" s="3193"/>
      <c r="H20" s="3193"/>
      <c r="I20" s="3193"/>
      <c r="J20" s="3193"/>
      <c r="K20" s="3193"/>
      <c r="L20" s="3193"/>
      <c r="M20" s="3190">
        <f>SUM(M15:N19)</f>
        <v>0</v>
      </c>
      <c r="N20" s="3191"/>
    </row>
    <row r="21" spans="1:14" ht="13" customHeight="1">
      <c r="A21" s="3176" t="s">
        <v>785</v>
      </c>
      <c r="B21" s="3177"/>
      <c r="C21" s="3177"/>
      <c r="D21" s="3177"/>
      <c r="E21" s="3177"/>
      <c r="F21" s="3177"/>
      <c r="G21" s="3177"/>
      <c r="H21" s="3177"/>
      <c r="I21" s="3177"/>
      <c r="J21" s="3177"/>
      <c r="K21" s="3177"/>
      <c r="L21" s="3177"/>
      <c r="M21" s="3177"/>
      <c r="N21" s="3178"/>
    </row>
    <row r="22" spans="1:14" ht="14" customHeight="1" thickBot="1">
      <c r="A22" s="3179"/>
      <c r="B22" s="3180"/>
      <c r="C22" s="3180"/>
      <c r="D22" s="3180"/>
      <c r="E22" s="3180"/>
      <c r="F22" s="3180"/>
      <c r="G22" s="3180"/>
      <c r="H22" s="3180"/>
      <c r="I22" s="3180"/>
      <c r="J22" s="3180"/>
      <c r="K22" s="3180"/>
      <c r="L22" s="3180"/>
      <c r="M22" s="3180"/>
      <c r="N22" s="3181"/>
    </row>
    <row r="23" spans="1:14" ht="16">
      <c r="A23" s="1720"/>
      <c r="B23" s="510" t="s">
        <v>786</v>
      </c>
      <c r="C23" s="510"/>
      <c r="D23" s="510"/>
      <c r="E23" s="510"/>
      <c r="F23" s="510"/>
      <c r="G23" s="510"/>
      <c r="H23" s="510"/>
      <c r="I23" s="510"/>
      <c r="J23" s="510"/>
      <c r="K23" s="510"/>
      <c r="L23" s="510"/>
      <c r="M23" s="3184"/>
      <c r="N23" s="3185"/>
    </row>
    <row r="24" spans="1:14" ht="16">
      <c r="A24" s="1708"/>
      <c r="B24" s="1723"/>
      <c r="C24" s="1723"/>
      <c r="D24" s="1723"/>
      <c r="E24" s="1723"/>
      <c r="F24" s="1723"/>
      <c r="G24" s="1723"/>
      <c r="H24" s="1723"/>
      <c r="I24" s="1723"/>
      <c r="J24" s="1723"/>
      <c r="K24" s="1723"/>
      <c r="L24" s="1723"/>
      <c r="M24" s="3186"/>
      <c r="N24" s="3187"/>
    </row>
    <row r="25" spans="1:14" ht="16">
      <c r="A25" s="1708"/>
      <c r="B25" s="1723"/>
      <c r="C25" s="1723"/>
      <c r="D25" s="1723"/>
      <c r="E25" s="1723"/>
      <c r="F25" s="1723"/>
      <c r="G25" s="1723"/>
      <c r="H25" s="1723"/>
      <c r="I25" s="1723"/>
      <c r="J25" s="1723"/>
      <c r="K25" s="1723"/>
      <c r="L25" s="1723"/>
      <c r="M25" s="3186"/>
      <c r="N25" s="3187"/>
    </row>
    <row r="26" spans="1:14" ht="16">
      <c r="A26" s="1708"/>
      <c r="B26" s="1723"/>
      <c r="C26" s="1723"/>
      <c r="D26" s="1723"/>
      <c r="E26" s="1723"/>
      <c r="F26" s="1723"/>
      <c r="G26" s="1723"/>
      <c r="H26" s="1723"/>
      <c r="I26" s="1723"/>
      <c r="J26" s="1723"/>
      <c r="K26" s="1723"/>
      <c r="L26" s="1723"/>
      <c r="M26" s="3186"/>
      <c r="N26" s="3187"/>
    </row>
    <row r="27" spans="1:14" ht="17" thickBot="1">
      <c r="A27" s="1715"/>
      <c r="B27" s="1723"/>
      <c r="C27" s="1723"/>
      <c r="D27" s="1723"/>
      <c r="E27" s="1723"/>
      <c r="F27" s="1723"/>
      <c r="G27" s="1723"/>
      <c r="H27" s="1723"/>
      <c r="I27" s="1723"/>
      <c r="J27" s="1723"/>
      <c r="K27" s="1723"/>
      <c r="L27" s="1723"/>
      <c r="M27" s="3186"/>
      <c r="N27" s="3187"/>
    </row>
    <row r="28" spans="1:14" ht="17" thickBot="1">
      <c r="A28" s="3207" t="s">
        <v>787</v>
      </c>
      <c r="B28" s="3207"/>
      <c r="C28" s="3207"/>
      <c r="D28" s="3207"/>
      <c r="E28" s="3207"/>
      <c r="F28" s="3207"/>
      <c r="G28" s="3207"/>
      <c r="H28" s="3207"/>
      <c r="I28" s="3207"/>
      <c r="J28" s="3207"/>
      <c r="K28" s="3207"/>
      <c r="L28" s="3208"/>
      <c r="M28" s="3210">
        <f>SUM(M23:M27)</f>
        <v>0</v>
      </c>
      <c r="N28" s="3211"/>
    </row>
    <row r="29" spans="1:14" ht="29" customHeight="1">
      <c r="A29" s="3209" t="s">
        <v>788</v>
      </c>
      <c r="B29" s="3209"/>
      <c r="C29" s="3209"/>
      <c r="D29" s="3209"/>
      <c r="E29" s="3209"/>
      <c r="F29" s="3209"/>
      <c r="G29" s="3209"/>
      <c r="H29" s="3209"/>
      <c r="I29" s="3209"/>
      <c r="J29" s="3209"/>
      <c r="K29" s="3209"/>
      <c r="L29" s="3209"/>
      <c r="M29" s="3206">
        <f>M28+M20+M12+N12</f>
        <v>0</v>
      </c>
      <c r="N29" s="3206"/>
    </row>
    <row r="30" spans="1:14" ht="17" thickBot="1">
      <c r="A30" s="3194"/>
      <c r="B30" s="3195"/>
      <c r="C30" s="3195"/>
      <c r="D30" s="3195"/>
      <c r="E30" s="3195"/>
      <c r="F30" s="3195"/>
      <c r="G30" s="3195"/>
      <c r="H30" s="3195"/>
      <c r="I30" s="3195"/>
      <c r="J30" s="3195"/>
      <c r="K30" s="3195"/>
      <c r="L30" s="3195"/>
      <c r="M30" s="3195"/>
      <c r="N30" s="3195"/>
    </row>
    <row r="31" spans="1:14" ht="26" customHeight="1" thickBot="1">
      <c r="A31" s="1724" t="s">
        <v>789</v>
      </c>
      <c r="B31" s="3202" t="s">
        <v>790</v>
      </c>
      <c r="C31" s="3203"/>
      <c r="D31" s="3203"/>
      <c r="E31" s="3203"/>
      <c r="F31" s="3203"/>
      <c r="G31" s="3203"/>
      <c r="H31" s="3203"/>
      <c r="I31" s="3203"/>
      <c r="J31" s="3196">
        <f>Daginstitution!E110</f>
        <v>2026</v>
      </c>
      <c r="K31" s="3197"/>
      <c r="L31" s="3198"/>
      <c r="M31" s="3218">
        <f>Daginstitution!F110</f>
        <v>2027</v>
      </c>
      <c r="N31" s="3219"/>
    </row>
    <row r="32" spans="1:14" ht="16">
      <c r="A32" s="1725"/>
      <c r="B32" s="3204" t="s">
        <v>791</v>
      </c>
      <c r="C32" s="3205"/>
      <c r="D32" s="3205"/>
      <c r="E32" s="3205"/>
      <c r="F32" s="3205"/>
      <c r="G32" s="3205"/>
      <c r="H32" s="3205"/>
      <c r="I32" s="3205"/>
      <c r="J32" s="3199">
        <f>'Lon pæd., TAP mm'!BN56+'Lon pæd., TAP mm'!BN84+SUM('Lon pæd., TAP mm'!BM81:BN81)</f>
        <v>0</v>
      </c>
      <c r="K32" s="3200"/>
      <c r="L32" s="3201"/>
      <c r="M32" s="3220">
        <f>'Lon pæd., TAP mm'!BN57+'Lon pæd., TAP mm'!BN85+SUM('Lon pæd., TAP mm'!BM83:BN83)</f>
        <v>0</v>
      </c>
      <c r="N32" s="3221"/>
    </row>
    <row r="33" spans="1:14" ht="16">
      <c r="A33" s="1726"/>
      <c r="B33" s="3212" t="s">
        <v>792</v>
      </c>
      <c r="C33" s="3213"/>
      <c r="D33" s="3213"/>
      <c r="E33" s="3213"/>
      <c r="F33" s="3213"/>
      <c r="G33" s="3213"/>
      <c r="H33" s="3213"/>
      <c r="I33" s="3213"/>
      <c r="J33" s="3226">
        <f>'Lon pæd., TAP mm'!BN70</f>
        <v>0</v>
      </c>
      <c r="K33" s="3227"/>
      <c r="L33" s="3228"/>
      <c r="M33" s="3222">
        <f>SUM('Lon pæd., TAP mm'!BB69:BN69)</f>
        <v>0</v>
      </c>
      <c r="N33" s="3223"/>
    </row>
    <row r="34" spans="1:14" ht="16">
      <c r="A34" s="1726"/>
      <c r="B34" s="3214" t="s">
        <v>793</v>
      </c>
      <c r="C34" s="3215"/>
      <c r="D34" s="3215"/>
      <c r="E34" s="3215"/>
      <c r="F34" s="3215"/>
      <c r="G34" s="3215"/>
      <c r="H34" s="3215"/>
      <c r="I34" s="3215"/>
      <c r="J34" s="3229">
        <f>'Lon pæd., TAP mm'!BN89</f>
        <v>0</v>
      </c>
      <c r="K34" s="3230"/>
      <c r="L34" s="3231"/>
      <c r="M34" s="3224">
        <f>'Lon pæd., TAP mm'!BN93</f>
        <v>0</v>
      </c>
      <c r="N34" s="3225"/>
    </row>
    <row r="35" spans="1:14" ht="16">
      <c r="A35" s="1726"/>
      <c r="B35" s="3216" t="s">
        <v>761</v>
      </c>
      <c r="C35" s="3217"/>
      <c r="D35" s="3217"/>
      <c r="E35" s="3217"/>
      <c r="F35" s="3217"/>
      <c r="G35" s="3217"/>
      <c r="H35" s="3217"/>
      <c r="I35" s="3217"/>
      <c r="J35" s="3151"/>
      <c r="K35" s="3152"/>
      <c r="L35" s="3153"/>
      <c r="M35" s="3151"/>
      <c r="N35" s="3153"/>
    </row>
    <row r="36" spans="1:14" ht="16">
      <c r="A36" s="1726"/>
      <c r="B36" s="3216" t="s">
        <v>794</v>
      </c>
      <c r="C36" s="3217"/>
      <c r="D36" s="3217"/>
      <c r="E36" s="3217"/>
      <c r="F36" s="3217"/>
      <c r="G36" s="3217"/>
      <c r="H36" s="3217"/>
      <c r="I36" s="3217"/>
      <c r="J36" s="3151"/>
      <c r="K36" s="3152"/>
      <c r="L36" s="3153"/>
      <c r="M36" s="3151"/>
      <c r="N36" s="3153"/>
    </row>
    <row r="37" spans="1:14" ht="16">
      <c r="A37" s="1726"/>
      <c r="B37" s="3216" t="s">
        <v>763</v>
      </c>
      <c r="C37" s="3217"/>
      <c r="D37" s="3217"/>
      <c r="E37" s="3217"/>
      <c r="F37" s="3217"/>
      <c r="G37" s="3217"/>
      <c r="H37" s="3217"/>
      <c r="I37" s="3217"/>
      <c r="J37" s="3151"/>
      <c r="K37" s="3152"/>
      <c r="L37" s="3153"/>
      <c r="M37" s="3151"/>
      <c r="N37" s="3153"/>
    </row>
    <row r="38" spans="1:14" ht="16">
      <c r="A38" s="1726"/>
      <c r="B38" s="3216" t="s">
        <v>730</v>
      </c>
      <c r="C38" s="3217"/>
      <c r="D38" s="3217"/>
      <c r="E38" s="3217"/>
      <c r="F38" s="3217"/>
      <c r="G38" s="3217"/>
      <c r="H38" s="3217"/>
      <c r="I38" s="3217"/>
      <c r="J38" s="3151"/>
      <c r="K38" s="3152"/>
      <c r="L38" s="3153"/>
      <c r="M38" s="3151"/>
      <c r="N38" s="3153"/>
    </row>
    <row r="39" spans="1:14" ht="16">
      <c r="A39" s="1726"/>
      <c r="B39" s="3216" t="s">
        <v>734</v>
      </c>
      <c r="C39" s="3217"/>
      <c r="D39" s="3217"/>
      <c r="E39" s="3217"/>
      <c r="F39" s="3217"/>
      <c r="G39" s="3217"/>
      <c r="H39" s="3217"/>
      <c r="I39" s="3217"/>
      <c r="J39" s="3151"/>
      <c r="K39" s="3152"/>
      <c r="L39" s="3153"/>
      <c r="M39" s="3151"/>
      <c r="N39" s="3153"/>
    </row>
    <row r="40" spans="1:14" ht="16">
      <c r="A40" s="1726"/>
      <c r="B40" s="3216" t="s">
        <v>795</v>
      </c>
      <c r="C40" s="3217"/>
      <c r="D40" s="3217"/>
      <c r="E40" s="3217"/>
      <c r="F40" s="3217"/>
      <c r="G40" s="3217"/>
      <c r="H40" s="3217"/>
      <c r="I40" s="3217"/>
      <c r="J40" s="3151"/>
      <c r="K40" s="3152"/>
      <c r="L40" s="3153"/>
      <c r="M40" s="3151"/>
      <c r="N40" s="3153"/>
    </row>
    <row r="41" spans="1:14" ht="16">
      <c r="A41" s="1726"/>
      <c r="B41" s="3216" t="s">
        <v>796</v>
      </c>
      <c r="C41" s="3217"/>
      <c r="D41" s="3217"/>
      <c r="E41" s="3217"/>
      <c r="F41" s="3217"/>
      <c r="G41" s="3217"/>
      <c r="H41" s="3217"/>
      <c r="I41" s="3217"/>
      <c r="J41" s="3151"/>
      <c r="K41" s="3152"/>
      <c r="L41" s="3153"/>
      <c r="M41" s="3151"/>
      <c r="N41" s="3153"/>
    </row>
    <row r="42" spans="1:14" ht="16">
      <c r="A42" s="1726"/>
      <c r="B42" s="3216" t="s">
        <v>797</v>
      </c>
      <c r="C42" s="3217"/>
      <c r="D42" s="3217"/>
      <c r="E42" s="3217"/>
      <c r="F42" s="3217"/>
      <c r="G42" s="3217"/>
      <c r="H42" s="3217"/>
      <c r="I42" s="3217"/>
      <c r="J42" s="3151"/>
      <c r="K42" s="3152"/>
      <c r="L42" s="3153"/>
      <c r="M42" s="3151"/>
      <c r="N42" s="3153"/>
    </row>
    <row r="43" spans="1:14" ht="16">
      <c r="A43" s="1726"/>
      <c r="B43" s="3216" t="s">
        <v>798</v>
      </c>
      <c r="C43" s="3217"/>
      <c r="D43" s="3217"/>
      <c r="E43" s="3217"/>
      <c r="F43" s="3217"/>
      <c r="G43" s="3217"/>
      <c r="H43" s="3217"/>
      <c r="I43" s="3217"/>
      <c r="J43" s="3151"/>
      <c r="K43" s="3152"/>
      <c r="L43" s="3153"/>
      <c r="M43" s="3151"/>
      <c r="N43" s="3153"/>
    </row>
    <row r="44" spans="1:14" ht="16">
      <c r="A44" s="1726"/>
      <c r="B44" s="3232" t="s">
        <v>799</v>
      </c>
      <c r="C44" s="3233"/>
      <c r="D44" s="3233"/>
      <c r="E44" s="3233"/>
      <c r="F44" s="3233"/>
      <c r="G44" s="3233"/>
      <c r="H44" s="3233"/>
      <c r="I44" s="3233"/>
      <c r="J44" s="3151"/>
      <c r="K44" s="3152"/>
      <c r="L44" s="3153"/>
      <c r="M44" s="3151"/>
      <c r="N44" s="3153"/>
    </row>
    <row r="45" spans="1:14" ht="17" thickBot="1">
      <c r="A45" s="1727"/>
      <c r="B45" s="3157"/>
      <c r="C45" s="3158"/>
      <c r="D45" s="3158"/>
      <c r="E45" s="3158"/>
      <c r="F45" s="3158"/>
      <c r="G45" s="3158"/>
      <c r="H45" s="3158"/>
      <c r="I45" s="3158"/>
      <c r="J45" s="3154"/>
      <c r="K45" s="3155"/>
      <c r="L45" s="3156"/>
      <c r="M45" s="3151"/>
      <c r="N45" s="3153"/>
    </row>
    <row r="46" spans="1:14" ht="17" thickBot="1">
      <c r="A46" s="3147" t="s">
        <v>800</v>
      </c>
      <c r="B46" s="3148"/>
      <c r="C46" s="3148"/>
      <c r="D46" s="3148"/>
      <c r="E46" s="3148"/>
      <c r="F46" s="3148"/>
      <c r="G46" s="3148"/>
      <c r="H46" s="3148"/>
      <c r="I46" s="3148"/>
      <c r="J46" s="3159">
        <f>SUM(J32:L45)</f>
        <v>0</v>
      </c>
      <c r="K46" s="3160"/>
      <c r="L46" s="3161"/>
      <c r="M46" s="3164">
        <f>SUM(M32:N45)</f>
        <v>0</v>
      </c>
      <c r="N46" s="3165"/>
    </row>
    <row r="47" spans="1:14" ht="21" thickBot="1">
      <c r="A47" s="3149" t="s">
        <v>801</v>
      </c>
      <c r="B47" s="3150"/>
      <c r="C47" s="3150"/>
      <c r="D47" s="3150"/>
      <c r="E47" s="3150"/>
      <c r="F47" s="3150"/>
      <c r="G47" s="3150"/>
      <c r="H47" s="3150"/>
      <c r="I47" s="3150"/>
      <c r="J47" s="3162">
        <f>M29-J46</f>
        <v>0</v>
      </c>
      <c r="K47" s="3166"/>
      <c r="L47" s="3163"/>
      <c r="M47" s="3162">
        <f>IF(M12&gt;0,'Skolepenge, pasningsordning.'!I102+'Skolepenge, pasningsordning.'!I117+'Skolepenge, pasningsordning.'!I120-'Heltids SFO'!M46,0)</f>
        <v>0</v>
      </c>
      <c r="N47" s="3163"/>
    </row>
  </sheetData>
  <sheetProtection sheet="1" objects="1" scenarios="1"/>
  <mergeCells count="75">
    <mergeCell ref="B41:I41"/>
    <mergeCell ref="B42:I42"/>
    <mergeCell ref="B43:I43"/>
    <mergeCell ref="B44:I44"/>
    <mergeCell ref="B36:I36"/>
    <mergeCell ref="B37:I37"/>
    <mergeCell ref="B38:I38"/>
    <mergeCell ref="B39:I39"/>
    <mergeCell ref="B40:I40"/>
    <mergeCell ref="B33:I33"/>
    <mergeCell ref="B34:I34"/>
    <mergeCell ref="B35:I35"/>
    <mergeCell ref="M35:N35"/>
    <mergeCell ref="M31:N31"/>
    <mergeCell ref="M32:N32"/>
    <mergeCell ref="M33:N33"/>
    <mergeCell ref="M34:N34"/>
    <mergeCell ref="J33:L33"/>
    <mergeCell ref="J34:L34"/>
    <mergeCell ref="J35:L35"/>
    <mergeCell ref="M29:N29"/>
    <mergeCell ref="A28:L28"/>
    <mergeCell ref="A29:L29"/>
    <mergeCell ref="M23:N23"/>
    <mergeCell ref="M24:N24"/>
    <mergeCell ref="M25:N25"/>
    <mergeCell ref="M26:N26"/>
    <mergeCell ref="M27:N27"/>
    <mergeCell ref="M28:N28"/>
    <mergeCell ref="A30:N30"/>
    <mergeCell ref="J31:L31"/>
    <mergeCell ref="J32:L32"/>
    <mergeCell ref="B31:I31"/>
    <mergeCell ref="B32:I32"/>
    <mergeCell ref="A2:N3"/>
    <mergeCell ref="A4:A5"/>
    <mergeCell ref="A12:L12"/>
    <mergeCell ref="A13:N14"/>
    <mergeCell ref="A21:N22"/>
    <mergeCell ref="M4:N4"/>
    <mergeCell ref="M15:N15"/>
    <mergeCell ref="M16:N16"/>
    <mergeCell ref="M17:N17"/>
    <mergeCell ref="M18:N18"/>
    <mergeCell ref="M19:N19"/>
    <mergeCell ref="M20:N20"/>
    <mergeCell ref="E4:L4"/>
    <mergeCell ref="A20:L20"/>
    <mergeCell ref="M36:N36"/>
    <mergeCell ref="M37:N37"/>
    <mergeCell ref="M38:N38"/>
    <mergeCell ref="M39:N39"/>
    <mergeCell ref="M40:N40"/>
    <mergeCell ref="J36:L36"/>
    <mergeCell ref="J37:L37"/>
    <mergeCell ref="J38:L38"/>
    <mergeCell ref="J39:L39"/>
    <mergeCell ref="J40:L40"/>
    <mergeCell ref="J41:L41"/>
    <mergeCell ref="J42:L42"/>
    <mergeCell ref="M47:N47"/>
    <mergeCell ref="M43:N43"/>
    <mergeCell ref="M44:N44"/>
    <mergeCell ref="M45:N45"/>
    <mergeCell ref="M46:N46"/>
    <mergeCell ref="J47:L47"/>
    <mergeCell ref="M42:N42"/>
    <mergeCell ref="M41:N41"/>
    <mergeCell ref="A46:I46"/>
    <mergeCell ref="A47:I47"/>
    <mergeCell ref="J43:L43"/>
    <mergeCell ref="J44:L44"/>
    <mergeCell ref="J45:L45"/>
    <mergeCell ref="B45:I45"/>
    <mergeCell ref="J46:L46"/>
  </mergeCells>
  <pageMargins left="0.7" right="0.7" top="0.75" bottom="0.75" header="0.3" footer="0.3"/>
  <pageSetup paperSize="9" orientation="portrait" horizontalDpi="0" verticalDpi="0"/>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Ark12">
    <tabColor rgb="FFFFFF00"/>
  </sheetPr>
  <dimension ref="A1:AJ237"/>
  <sheetViews>
    <sheetView topLeftCell="A116" zoomScale="111" zoomScaleNormal="111" zoomScaleSheetLayoutView="100" workbookViewId="0">
      <selection activeCell="I122" sqref="I122"/>
    </sheetView>
  </sheetViews>
  <sheetFormatPr baseColWidth="10" defaultColWidth="10.83203125" defaultRowHeight="13"/>
  <cols>
    <col min="1" max="1" width="8.83203125" customWidth="1"/>
    <col min="2" max="2" width="20" customWidth="1"/>
    <col min="3" max="3" width="15.83203125" customWidth="1"/>
    <col min="4" max="4" width="15" customWidth="1"/>
    <col min="5" max="5" width="15.5" customWidth="1"/>
    <col min="6" max="6" width="6.5" customWidth="1"/>
    <col min="7" max="11" width="6.83203125" customWidth="1"/>
    <col min="12" max="13" width="10.5" customWidth="1"/>
    <col min="14" max="17" width="6.83203125" customWidth="1"/>
    <col min="18" max="18" width="7" customWidth="1"/>
    <col min="19" max="20" width="16" customWidth="1"/>
    <col min="21" max="21" width="16" style="343" hidden="1" customWidth="1"/>
    <col min="22" max="22" width="17.5" style="2128" hidden="1" customWidth="1"/>
    <col min="23" max="23" width="12.5" customWidth="1"/>
    <col min="24" max="24" width="16.1640625" customWidth="1"/>
    <col min="26" max="26" width="4.5" customWidth="1"/>
  </cols>
  <sheetData>
    <row r="1" spans="1:36" s="98" customFormat="1" ht="27" customHeight="1" thickBot="1">
      <c r="A1" s="900"/>
      <c r="B1" s="900"/>
      <c r="C1" s="900"/>
      <c r="D1" s="900"/>
      <c r="E1" s="900"/>
      <c r="F1" s="900"/>
      <c r="G1" s="900"/>
      <c r="H1" s="900"/>
      <c r="I1" s="900"/>
      <c r="J1" s="900"/>
      <c r="K1" s="900"/>
      <c r="L1" s="900"/>
      <c r="M1" s="900"/>
      <c r="N1" s="900"/>
      <c r="O1" s="900"/>
      <c r="P1" s="900"/>
      <c r="Q1" s="900"/>
      <c r="R1" s="900"/>
      <c r="S1" s="900"/>
      <c r="T1" s="900"/>
      <c r="U1" s="343"/>
      <c r="V1" s="2128"/>
      <c r="W1"/>
      <c r="X1"/>
      <c r="Y1"/>
      <c r="Z1"/>
      <c r="AA1"/>
      <c r="AB1"/>
      <c r="AC1"/>
      <c r="AD1"/>
      <c r="AE1"/>
      <c r="AF1"/>
      <c r="AG1"/>
      <c r="AH1"/>
      <c r="AI1"/>
      <c r="AJ1"/>
    </row>
    <row r="2" spans="1:36" ht="38" customHeight="1" thickBot="1">
      <c r="A2" s="3345" t="str">
        <f>"Børnehaveindtægter " &amp; budgetår</f>
        <v>Børnehaveindtægter 2026</v>
      </c>
      <c r="B2" s="3346"/>
      <c r="C2" s="3346"/>
      <c r="D2" s="3346"/>
      <c r="E2" s="3346"/>
      <c r="F2" s="3346"/>
      <c r="G2" s="3346"/>
      <c r="H2" s="3346"/>
      <c r="I2" s="3346"/>
      <c r="J2" s="3346"/>
      <c r="K2" s="3346"/>
      <c r="L2" s="3346"/>
      <c r="M2" s="3346"/>
      <c r="N2" s="3346"/>
      <c r="O2" s="3346"/>
      <c r="P2" s="3346"/>
      <c r="Q2" s="3346"/>
      <c r="R2" s="3346"/>
      <c r="S2" s="3346"/>
      <c r="T2" s="3347"/>
    </row>
    <row r="3" spans="1:36" s="5" customFormat="1" ht="34" customHeight="1">
      <c r="A3" s="3354" t="s">
        <v>802</v>
      </c>
      <c r="B3" s="3355"/>
      <c r="C3" s="3355"/>
      <c r="D3" s="3355"/>
      <c r="E3" s="1728"/>
      <c r="F3" s="3356" t="s">
        <v>803</v>
      </c>
      <c r="G3" s="3356"/>
      <c r="H3" s="3356"/>
      <c r="I3" s="3356"/>
      <c r="J3" s="3356"/>
      <c r="K3" s="3356"/>
      <c r="L3" s="3356"/>
      <c r="M3" s="3356"/>
      <c r="N3" s="3356"/>
      <c r="O3" s="3356"/>
      <c r="P3" s="3356"/>
      <c r="Q3" s="3356"/>
      <c r="R3" s="3356"/>
      <c r="S3" s="3356"/>
      <c r="T3" s="1729">
        <v>12</v>
      </c>
      <c r="U3" s="2121"/>
      <c r="V3" s="2129"/>
    </row>
    <row r="4" spans="1:36" s="5" customFormat="1" ht="34" customHeight="1" thickBot="1">
      <c r="A4" s="3357" t="s">
        <v>804</v>
      </c>
      <c r="B4" s="3358"/>
      <c r="C4" s="3358"/>
      <c r="D4" s="3358"/>
      <c r="E4" s="1730"/>
      <c r="F4" s="3359" t="s">
        <v>805</v>
      </c>
      <c r="G4" s="3359"/>
      <c r="H4" s="3359"/>
      <c r="I4" s="3359"/>
      <c r="J4" s="3359"/>
      <c r="K4" s="3359"/>
      <c r="L4" s="3359"/>
      <c r="M4" s="3359"/>
      <c r="N4" s="3359"/>
      <c r="O4" s="3359"/>
      <c r="P4" s="3359"/>
      <c r="Q4" s="3359"/>
      <c r="R4" s="3359"/>
      <c r="S4" s="3359"/>
      <c r="T4" s="1731">
        <v>12</v>
      </c>
      <c r="U4" s="2121"/>
      <c r="V4" s="2129"/>
    </row>
    <row r="5" spans="1:36" s="5" customFormat="1" ht="28" customHeight="1" thickBot="1">
      <c r="A5" s="3348" t="str">
        <f>"Børnehave indtægter januar til december " &amp; budgetår</f>
        <v>Børnehave indtægter januar til december 2026</v>
      </c>
      <c r="B5" s="3349"/>
      <c r="C5" s="3349"/>
      <c r="D5" s="3349"/>
      <c r="E5" s="3349"/>
      <c r="F5" s="3349"/>
      <c r="G5" s="3349"/>
      <c r="H5" s="3349"/>
      <c r="I5" s="3349"/>
      <c r="J5" s="3349"/>
      <c r="K5" s="3349"/>
      <c r="L5" s="3349"/>
      <c r="M5" s="3349"/>
      <c r="N5" s="3349"/>
      <c r="O5" s="3349"/>
      <c r="P5" s="3349"/>
      <c r="Q5" s="3349"/>
      <c r="R5" s="3349"/>
      <c r="S5" s="3349"/>
      <c r="T5" s="3350"/>
      <c r="U5" s="2121"/>
      <c r="V5" s="2129"/>
    </row>
    <row r="6" spans="1:36" s="21" customFormat="1" ht="25" customHeight="1" thickBot="1">
      <c r="A6" s="700"/>
      <c r="B6" s="1732" t="s">
        <v>767</v>
      </c>
      <c r="C6" s="3258" t="s">
        <v>768</v>
      </c>
      <c r="D6" s="3259"/>
      <c r="E6" s="3260"/>
      <c r="F6" s="3249" t="s">
        <v>806</v>
      </c>
      <c r="G6" s="3250"/>
      <c r="H6" s="3250"/>
      <c r="I6" s="3250"/>
      <c r="J6" s="3250"/>
      <c r="K6" s="3250"/>
      <c r="L6" s="3250"/>
      <c r="M6" s="3250"/>
      <c r="N6" s="3250"/>
      <c r="O6" s="3250"/>
      <c r="P6" s="3250"/>
      <c r="Q6" s="3250"/>
      <c r="R6" s="3251"/>
      <c r="S6" s="3249" t="s">
        <v>770</v>
      </c>
      <c r="T6" s="3251"/>
      <c r="U6" s="2122"/>
      <c r="V6" s="2130"/>
      <c r="W6" s="398"/>
      <c r="X6" s="398"/>
      <c r="Y6" s="398"/>
      <c r="Z6" s="398"/>
      <c r="AA6" s="398"/>
      <c r="AB6" s="398"/>
      <c r="AC6" s="398"/>
      <c r="AD6" s="398"/>
      <c r="AE6" s="398"/>
      <c r="AF6" s="398"/>
      <c r="AG6" s="398"/>
      <c r="AH6" s="398"/>
      <c r="AI6" s="809"/>
      <c r="AJ6" s="809"/>
    </row>
    <row r="7" spans="1:36" s="21" customFormat="1" ht="25" customHeight="1" thickBot="1">
      <c r="A7" s="700"/>
      <c r="B7" s="1733" t="s">
        <v>342</v>
      </c>
      <c r="C7" s="3247" t="s">
        <v>342</v>
      </c>
      <c r="D7" s="3247"/>
      <c r="E7" s="3247"/>
      <c r="F7" s="3252"/>
      <c r="G7" s="3253"/>
      <c r="H7" s="3253"/>
      <c r="I7" s="3253"/>
      <c r="J7" s="3253"/>
      <c r="K7" s="3253"/>
      <c r="L7" s="3253"/>
      <c r="M7" s="3253"/>
      <c r="N7" s="3253"/>
      <c r="O7" s="3253"/>
      <c r="P7" s="3253"/>
      <c r="Q7" s="3253"/>
      <c r="R7" s="3254"/>
      <c r="S7" s="3252"/>
      <c r="T7" s="3254"/>
      <c r="U7" s="2122"/>
      <c r="V7" s="2130"/>
      <c r="W7" s="398"/>
      <c r="X7" s="398"/>
      <c r="Y7" s="398"/>
      <c r="Z7" s="398"/>
      <c r="AA7" s="398"/>
      <c r="AB7" s="398"/>
      <c r="AC7" s="398"/>
      <c r="AD7" s="398"/>
      <c r="AE7" s="398"/>
      <c r="AF7" s="398"/>
      <c r="AG7" s="398"/>
      <c r="AH7" s="398"/>
      <c r="AI7" s="809"/>
      <c r="AJ7" s="809"/>
    </row>
    <row r="8" spans="1:36" s="21" customFormat="1" ht="25" customHeight="1" thickBot="1">
      <c r="A8" s="700"/>
      <c r="B8" s="1734"/>
      <c r="C8" s="3248"/>
      <c r="D8" s="3248"/>
      <c r="E8" s="3248"/>
      <c r="F8" s="3255"/>
      <c r="G8" s="3256"/>
      <c r="H8" s="3256"/>
      <c r="I8" s="3256"/>
      <c r="J8" s="3256"/>
      <c r="K8" s="3256"/>
      <c r="L8" s="3256"/>
      <c r="M8" s="3256"/>
      <c r="N8" s="3256"/>
      <c r="O8" s="3256"/>
      <c r="P8" s="3256"/>
      <c r="Q8" s="3256"/>
      <c r="R8" s="3257"/>
      <c r="S8" s="3255"/>
      <c r="T8" s="3257"/>
      <c r="U8" s="2122"/>
      <c r="V8" s="2130"/>
      <c r="W8" s="398"/>
      <c r="X8" s="398"/>
      <c r="Y8" s="398"/>
      <c r="Z8" s="398"/>
      <c r="AA8" s="398"/>
      <c r="AB8" s="398"/>
      <c r="AC8" s="398"/>
      <c r="AD8" s="398"/>
      <c r="AE8" s="398"/>
      <c r="AF8" s="398"/>
      <c r="AG8" s="398"/>
      <c r="AH8" s="398"/>
      <c r="AI8" s="809"/>
      <c r="AJ8" s="809"/>
    </row>
    <row r="9" spans="1:36" s="22" customFormat="1" ht="63" customHeight="1" thickBot="1">
      <c r="A9" s="1735" t="s">
        <v>771</v>
      </c>
      <c r="B9" s="509" t="s">
        <v>807</v>
      </c>
      <c r="C9" s="509" t="s">
        <v>808</v>
      </c>
      <c r="D9" s="1736" t="s">
        <v>809</v>
      </c>
      <c r="E9" s="1737" t="s">
        <v>810</v>
      </c>
      <c r="F9" s="901" t="s">
        <v>773</v>
      </c>
      <c r="G9" s="1738" t="s">
        <v>774</v>
      </c>
      <c r="H9" s="1738" t="s">
        <v>775</v>
      </c>
      <c r="I9" s="1738" t="s">
        <v>776</v>
      </c>
      <c r="J9" s="1738" t="s">
        <v>777</v>
      </c>
      <c r="K9" s="1738" t="s">
        <v>778</v>
      </c>
      <c r="L9" s="1738" t="s">
        <v>779</v>
      </c>
      <c r="M9" s="1738" t="s">
        <v>780</v>
      </c>
      <c r="N9" s="1738" t="s">
        <v>811</v>
      </c>
      <c r="O9" s="1738" t="s">
        <v>812</v>
      </c>
      <c r="P9" s="1738" t="s">
        <v>813</v>
      </c>
      <c r="Q9" s="1738" t="s">
        <v>814</v>
      </c>
      <c r="R9" s="1739" t="s">
        <v>815</v>
      </c>
      <c r="S9" s="1740" t="s">
        <v>781</v>
      </c>
      <c r="T9" s="1739" t="s">
        <v>782</v>
      </c>
      <c r="U9" s="2123"/>
      <c r="V9" s="2131"/>
      <c r="W9" s="399"/>
      <c r="X9" s="399"/>
      <c r="Y9" s="399"/>
      <c r="Z9" s="399"/>
      <c r="AA9" s="399"/>
      <c r="AB9" s="399"/>
      <c r="AC9" s="399"/>
      <c r="AD9" s="399"/>
      <c r="AE9" s="399"/>
      <c r="AF9" s="399"/>
      <c r="AG9" s="399"/>
      <c r="AH9" s="399"/>
      <c r="AI9" s="399"/>
    </row>
    <row r="10" spans="1:36" s="22" customFormat="1" ht="20" customHeight="1" thickBot="1">
      <c r="A10" s="3426" t="s">
        <v>1465</v>
      </c>
      <c r="B10" s="3427"/>
      <c r="C10" s="3427"/>
      <c r="D10" s="3427"/>
      <c r="E10" s="3427"/>
      <c r="F10" s="3427"/>
      <c r="G10" s="3427"/>
      <c r="H10" s="3427"/>
      <c r="I10" s="3427"/>
      <c r="J10" s="3427"/>
      <c r="K10" s="3427"/>
      <c r="L10" s="3427"/>
      <c r="M10" s="3427"/>
      <c r="N10" s="3427"/>
      <c r="O10" s="3427"/>
      <c r="P10" s="3427"/>
      <c r="Q10" s="3427"/>
      <c r="R10" s="3427"/>
      <c r="S10" s="3427"/>
      <c r="T10" s="3428"/>
      <c r="U10" s="2123"/>
      <c r="V10" s="2131"/>
      <c r="W10" s="399"/>
      <c r="X10" s="399"/>
      <c r="Y10" s="399"/>
      <c r="Z10" s="399"/>
      <c r="AA10" s="399"/>
      <c r="AB10" s="399"/>
      <c r="AC10" s="399"/>
      <c r="AD10" s="399"/>
      <c r="AE10" s="399"/>
      <c r="AF10" s="399"/>
      <c r="AG10" s="399"/>
      <c r="AH10" s="399"/>
      <c r="AI10" s="399"/>
    </row>
    <row r="11" spans="1:36" s="5" customFormat="1" ht="14" customHeight="1">
      <c r="A11" s="511" t="s">
        <v>358</v>
      </c>
      <c r="B11" s="1741"/>
      <c r="C11" s="1742"/>
      <c r="D11" s="1743"/>
      <c r="E11" s="1744"/>
      <c r="F11" s="1742"/>
      <c r="G11" s="1745"/>
      <c r="H11" s="1745"/>
      <c r="I11" s="1745"/>
      <c r="J11" s="1745"/>
      <c r="K11" s="1745"/>
      <c r="L11" s="1745"/>
      <c r="M11" s="1745"/>
      <c r="N11" s="1745"/>
      <c r="O11" s="1745"/>
      <c r="P11" s="1745"/>
      <c r="Q11" s="1745"/>
      <c r="R11" s="1746"/>
      <c r="S11" s="1747">
        <f t="shared" ref="S11:S18" si="0">SUM(F11:R11)*B11-(M11*B11)</f>
        <v>0</v>
      </c>
      <c r="T11" s="1748" cm="1">
        <f t="array" ref="T11">SUM(F11:R11)*SUM(C11:E11)-SUM(C11:E11*L11)</f>
        <v>0</v>
      </c>
      <c r="U11" s="514">
        <f>SUM(F11:R18)</f>
        <v>0</v>
      </c>
      <c r="V11" s="2132"/>
      <c r="W11" s="400"/>
      <c r="X11" s="400"/>
      <c r="Y11" s="400"/>
      <c r="Z11" s="400"/>
      <c r="AA11" s="400"/>
      <c r="AB11" s="400"/>
      <c r="AC11" s="400"/>
      <c r="AD11" s="400"/>
      <c r="AE11" s="400"/>
      <c r="AF11" s="400"/>
      <c r="AG11" s="400"/>
      <c r="AH11" s="400"/>
      <c r="AI11" s="400"/>
    </row>
    <row r="12" spans="1:36" s="5" customFormat="1" ht="14" customHeight="1">
      <c r="A12" s="821" t="s">
        <v>359</v>
      </c>
      <c r="B12" s="1749"/>
      <c r="C12" s="1705"/>
      <c r="D12" s="1743"/>
      <c r="E12" s="1744"/>
      <c r="F12" s="1742"/>
      <c r="G12" s="1745"/>
      <c r="H12" s="1745"/>
      <c r="I12" s="1745"/>
      <c r="J12" s="1745"/>
      <c r="K12" s="1745"/>
      <c r="L12" s="1745"/>
      <c r="M12" s="1745"/>
      <c r="N12" s="1745"/>
      <c r="O12" s="1745"/>
      <c r="P12" s="1745"/>
      <c r="Q12" s="1745"/>
      <c r="R12" s="1746"/>
      <c r="S12" s="1747">
        <f t="shared" si="0"/>
        <v>0</v>
      </c>
      <c r="T12" s="1748" cm="1">
        <f t="array" ref="T12">SUM(F12:R12)*SUM(C12:E12)-SUM(C12:E12*L12)</f>
        <v>0</v>
      </c>
      <c r="U12" s="514">
        <f>SUM(L11:L18)</f>
        <v>0</v>
      </c>
      <c r="V12" s="2132"/>
      <c r="W12" s="400"/>
      <c r="X12" s="400"/>
      <c r="Y12" s="400"/>
      <c r="Z12" s="400"/>
      <c r="AA12" s="400"/>
      <c r="AB12" s="400"/>
      <c r="AC12" s="400"/>
      <c r="AD12" s="400"/>
      <c r="AE12" s="400"/>
      <c r="AF12" s="400"/>
      <c r="AG12" s="400"/>
      <c r="AH12" s="400"/>
      <c r="AI12" s="400"/>
    </row>
    <row r="13" spans="1:36" s="5" customFormat="1" ht="14" customHeight="1">
      <c r="A13" s="821" t="s">
        <v>360</v>
      </c>
      <c r="B13" s="1749"/>
      <c r="C13" s="1705"/>
      <c r="D13" s="1743"/>
      <c r="E13" s="1744"/>
      <c r="F13" s="1742"/>
      <c r="G13" s="1745"/>
      <c r="H13" s="1745"/>
      <c r="I13" s="1745"/>
      <c r="J13" s="1745"/>
      <c r="K13" s="1745"/>
      <c r="L13" s="1745"/>
      <c r="M13" s="1745"/>
      <c r="N13" s="1745"/>
      <c r="O13" s="1745"/>
      <c r="P13" s="1745"/>
      <c r="Q13" s="1745"/>
      <c r="R13" s="1746"/>
      <c r="S13" s="1747">
        <f t="shared" si="0"/>
        <v>0</v>
      </c>
      <c r="T13" s="1748" cm="1">
        <f t="array" ref="T13">SUM(F13:R13)*SUM(C13:E13)-SUM(C13:E13*L13)</f>
        <v>0</v>
      </c>
      <c r="U13" s="514">
        <f>U11-U12</f>
        <v>0</v>
      </c>
      <c r="V13" s="2132"/>
      <c r="W13" s="400"/>
      <c r="X13" s="400"/>
      <c r="Y13" s="400"/>
      <c r="Z13" s="400"/>
      <c r="AA13" s="400"/>
      <c r="AB13" s="400"/>
      <c r="AC13" s="400"/>
      <c r="AD13" s="400"/>
      <c r="AE13" s="400"/>
      <c r="AF13" s="400"/>
      <c r="AG13" s="400"/>
      <c r="AH13" s="400"/>
      <c r="AI13" s="400"/>
    </row>
    <row r="14" spans="1:36" s="5" customFormat="1" ht="14" customHeight="1">
      <c r="A14" s="821" t="s">
        <v>361</v>
      </c>
      <c r="B14" s="1749"/>
      <c r="C14" s="1705"/>
      <c r="D14" s="1743"/>
      <c r="E14" s="1744"/>
      <c r="F14" s="1742"/>
      <c r="G14" s="1745"/>
      <c r="H14" s="1745"/>
      <c r="I14" s="1745"/>
      <c r="J14" s="1745"/>
      <c r="K14" s="1745"/>
      <c r="L14" s="1745"/>
      <c r="M14" s="1745"/>
      <c r="N14" s="1745"/>
      <c r="O14" s="1745"/>
      <c r="P14" s="1745"/>
      <c r="Q14" s="1745"/>
      <c r="R14" s="1746"/>
      <c r="S14" s="1747">
        <f t="shared" si="0"/>
        <v>0</v>
      </c>
      <c r="T14" s="1748" cm="1">
        <f t="array" ref="T14">SUM(F14:R14)*SUM(C14:E14)-SUM(C14:E14*L14)</f>
        <v>0</v>
      </c>
      <c r="U14" s="514">
        <f>IF($T$3&gt;0,U13/$T$3,0)</f>
        <v>0</v>
      </c>
      <c r="V14" s="2132">
        <f>U14*0.5</f>
        <v>0</v>
      </c>
      <c r="W14" s="400"/>
      <c r="X14" s="400"/>
      <c r="Y14" s="400"/>
      <c r="Z14" s="400"/>
      <c r="AA14" s="400"/>
      <c r="AB14" s="400"/>
      <c r="AC14" s="400"/>
      <c r="AD14" s="400"/>
      <c r="AE14" s="400"/>
      <c r="AF14" s="400"/>
      <c r="AG14" s="400"/>
      <c r="AH14" s="400"/>
      <c r="AI14" s="400"/>
    </row>
    <row r="15" spans="1:36" s="5" customFormat="1" ht="14" customHeight="1">
      <c r="A15" s="821" t="s">
        <v>362</v>
      </c>
      <c r="B15" s="1749"/>
      <c r="C15" s="1705"/>
      <c r="D15" s="1743"/>
      <c r="E15" s="1744"/>
      <c r="F15" s="1742"/>
      <c r="G15" s="1745"/>
      <c r="H15" s="1745"/>
      <c r="I15" s="1745"/>
      <c r="J15" s="1745"/>
      <c r="K15" s="1745"/>
      <c r="L15" s="1745"/>
      <c r="M15" s="1745"/>
      <c r="N15" s="1745"/>
      <c r="O15" s="1745"/>
      <c r="P15" s="1745"/>
      <c r="Q15" s="1745"/>
      <c r="R15" s="1746"/>
      <c r="S15" s="1747">
        <f t="shared" si="0"/>
        <v>0</v>
      </c>
      <c r="T15" s="1748" cm="1">
        <f t="array" ref="T15">SUM(F15:R15)*SUM(C15:E15)-SUM(C15:E15*L15)</f>
        <v>0</v>
      </c>
      <c r="U15" s="514"/>
      <c r="V15" s="2132"/>
      <c r="W15" s="400"/>
      <c r="X15" s="400"/>
      <c r="Y15" s="400"/>
      <c r="Z15" s="400"/>
      <c r="AA15" s="400"/>
      <c r="AB15" s="400"/>
      <c r="AC15" s="400"/>
      <c r="AD15" s="400"/>
      <c r="AE15" s="400"/>
      <c r="AF15" s="400"/>
      <c r="AG15" s="400"/>
      <c r="AH15" s="400"/>
      <c r="AI15" s="400"/>
    </row>
    <row r="16" spans="1:36" s="5" customFormat="1" ht="14" customHeight="1">
      <c r="A16" s="821" t="s">
        <v>363</v>
      </c>
      <c r="B16" s="1749"/>
      <c r="C16" s="1705"/>
      <c r="D16" s="1743"/>
      <c r="E16" s="1744"/>
      <c r="F16" s="1742"/>
      <c r="G16" s="1745"/>
      <c r="H16" s="1745"/>
      <c r="I16" s="1745"/>
      <c r="J16" s="1745"/>
      <c r="K16" s="1745"/>
      <c r="L16" s="1745"/>
      <c r="M16" s="1745"/>
      <c r="N16" s="1745"/>
      <c r="O16" s="1745"/>
      <c r="P16" s="1745"/>
      <c r="Q16" s="1745"/>
      <c r="R16" s="1746"/>
      <c r="S16" s="1747">
        <f t="shared" si="0"/>
        <v>0</v>
      </c>
      <c r="T16" s="1748" cm="1">
        <f t="array" ref="T16">SUM(F16:R16)*SUM(C16:E16)-SUM(C16:E16*L16)</f>
        <v>0</v>
      </c>
      <c r="U16" s="514"/>
      <c r="V16" s="2132"/>
      <c r="W16" s="400"/>
      <c r="X16" s="400"/>
      <c r="Y16" s="400"/>
      <c r="Z16" s="400"/>
      <c r="AA16" s="400"/>
      <c r="AB16" s="400"/>
      <c r="AC16" s="400"/>
      <c r="AD16" s="400"/>
      <c r="AE16" s="400"/>
      <c r="AF16" s="400"/>
      <c r="AG16" s="400"/>
      <c r="AH16" s="400"/>
      <c r="AI16" s="400"/>
    </row>
    <row r="17" spans="1:35" s="5" customFormat="1" ht="14" customHeight="1">
      <c r="A17" s="821" t="s">
        <v>364</v>
      </c>
      <c r="B17" s="1749"/>
      <c r="C17" s="1705"/>
      <c r="D17" s="1743"/>
      <c r="E17" s="1744"/>
      <c r="F17" s="1742"/>
      <c r="G17" s="1745"/>
      <c r="H17" s="1745"/>
      <c r="I17" s="1745"/>
      <c r="J17" s="1745"/>
      <c r="K17" s="1745"/>
      <c r="L17" s="1745"/>
      <c r="M17" s="1745"/>
      <c r="N17" s="1745"/>
      <c r="O17" s="1745"/>
      <c r="P17" s="1745"/>
      <c r="Q17" s="1745"/>
      <c r="R17" s="1746"/>
      <c r="S17" s="1747">
        <f t="shared" si="0"/>
        <v>0</v>
      </c>
      <c r="T17" s="1748" cm="1">
        <f t="array" ref="T17">SUM(F17:R17)*SUM(C17:E17)-SUM(C17:E17*L17)</f>
        <v>0</v>
      </c>
      <c r="U17" s="514"/>
      <c r="V17" s="2132"/>
      <c r="W17" s="400"/>
      <c r="X17" s="400"/>
      <c r="Y17" s="400"/>
      <c r="Z17" s="400"/>
      <c r="AA17" s="400"/>
      <c r="AB17" s="400"/>
      <c r="AC17" s="400"/>
      <c r="AD17" s="400"/>
      <c r="AE17" s="400"/>
      <c r="AF17" s="400"/>
      <c r="AG17" s="400"/>
      <c r="AH17" s="400"/>
      <c r="AI17" s="400"/>
    </row>
    <row r="18" spans="1:35" s="5" customFormat="1" ht="14" customHeight="1" thickBot="1">
      <c r="A18" s="821" t="s">
        <v>365</v>
      </c>
      <c r="B18" s="1749"/>
      <c r="C18" s="1705"/>
      <c r="D18" s="1743"/>
      <c r="E18" s="1744"/>
      <c r="F18" s="1742"/>
      <c r="G18" s="1745"/>
      <c r="H18" s="1745"/>
      <c r="I18" s="1745"/>
      <c r="J18" s="1745"/>
      <c r="K18" s="1745"/>
      <c r="L18" s="1745"/>
      <c r="M18" s="1745"/>
      <c r="N18" s="1745"/>
      <c r="O18" s="1745"/>
      <c r="P18" s="1745"/>
      <c r="Q18" s="1745"/>
      <c r="R18" s="1746"/>
      <c r="S18" s="1747">
        <f t="shared" si="0"/>
        <v>0</v>
      </c>
      <c r="T18" s="1748" cm="1">
        <f t="array" ref="T18">SUM(F18:R18)*SUM(C18:E18)-SUM(C18:E18*L18)</f>
        <v>0</v>
      </c>
      <c r="U18" s="514"/>
      <c r="V18" s="2132"/>
      <c r="W18" s="400"/>
      <c r="X18" s="400"/>
      <c r="Y18" s="400"/>
      <c r="Z18" s="400"/>
      <c r="AA18" s="400"/>
      <c r="AB18" s="400"/>
      <c r="AC18" s="400"/>
      <c r="AD18" s="400"/>
      <c r="AE18" s="400"/>
      <c r="AF18" s="400"/>
      <c r="AG18" s="400"/>
      <c r="AH18" s="400"/>
      <c r="AI18" s="400"/>
    </row>
    <row r="19" spans="1:35" s="22" customFormat="1" ht="20" customHeight="1" thickBot="1">
      <c r="A19" s="3426" t="s">
        <v>1464</v>
      </c>
      <c r="B19" s="3427"/>
      <c r="C19" s="3427"/>
      <c r="D19" s="3427"/>
      <c r="E19" s="3427"/>
      <c r="F19" s="3427"/>
      <c r="G19" s="3427"/>
      <c r="H19" s="3427"/>
      <c r="I19" s="3427"/>
      <c r="J19" s="3427"/>
      <c r="K19" s="3427"/>
      <c r="L19" s="3427"/>
      <c r="M19" s="3427"/>
      <c r="N19" s="3427"/>
      <c r="O19" s="3427"/>
      <c r="P19" s="3427"/>
      <c r="Q19" s="3427"/>
      <c r="R19" s="3427"/>
      <c r="S19" s="3427"/>
      <c r="T19" s="3428"/>
      <c r="U19" s="2123"/>
      <c r="V19" s="2131"/>
      <c r="W19" s="399"/>
      <c r="X19" s="399"/>
      <c r="Y19" s="399"/>
      <c r="Z19" s="399"/>
      <c r="AA19" s="399"/>
      <c r="AB19" s="399"/>
      <c r="AC19" s="399"/>
      <c r="AD19" s="399"/>
      <c r="AE19" s="399"/>
      <c r="AF19" s="399"/>
      <c r="AG19" s="399"/>
      <c r="AH19" s="399"/>
      <c r="AI19" s="399"/>
    </row>
    <row r="20" spans="1:35" s="5" customFormat="1" ht="14" customHeight="1">
      <c r="A20" s="511" t="s">
        <v>358</v>
      </c>
      <c r="B20" s="1749"/>
      <c r="C20" s="1705"/>
      <c r="D20" s="1743"/>
      <c r="E20" s="1744"/>
      <c r="F20" s="1742"/>
      <c r="G20" s="1745"/>
      <c r="H20" s="1745"/>
      <c r="I20" s="1745"/>
      <c r="J20" s="1745"/>
      <c r="K20" s="1745"/>
      <c r="L20" s="1745"/>
      <c r="M20" s="1745"/>
      <c r="N20" s="1745"/>
      <c r="O20" s="1745"/>
      <c r="P20" s="1745"/>
      <c r="Q20" s="1745"/>
      <c r="R20" s="1745"/>
      <c r="S20" s="1747">
        <f t="shared" ref="S20:S27" si="1">SUM(F20:R20)*B20-(M20*B20)</f>
        <v>0</v>
      </c>
      <c r="T20" s="1748" cm="1">
        <f t="array" ref="T20">SUM(F20:R20)*SUM(C20:E20)-SUM(C20:E20*L20)</f>
        <v>0</v>
      </c>
      <c r="U20" s="514">
        <f>SUM(F20:R27)</f>
        <v>0</v>
      </c>
      <c r="V20" s="2132"/>
      <c r="W20" s="400"/>
      <c r="X20" s="400"/>
      <c r="Y20" s="400"/>
      <c r="Z20" s="400"/>
      <c r="AA20" s="400"/>
      <c r="AB20" s="400"/>
      <c r="AC20" s="400"/>
      <c r="AD20" s="400"/>
      <c r="AE20" s="400"/>
      <c r="AF20" s="400"/>
      <c r="AG20" s="400"/>
      <c r="AH20" s="400"/>
      <c r="AI20" s="400"/>
    </row>
    <row r="21" spans="1:35" s="5" customFormat="1" ht="14" customHeight="1">
      <c r="A21" s="821" t="s">
        <v>359</v>
      </c>
      <c r="B21" s="1749"/>
      <c r="C21" s="1705"/>
      <c r="D21" s="1743"/>
      <c r="E21" s="1744"/>
      <c r="F21" s="1742"/>
      <c r="G21" s="1745"/>
      <c r="H21" s="1745"/>
      <c r="I21" s="1745"/>
      <c r="J21" s="1745"/>
      <c r="K21" s="1745"/>
      <c r="L21" s="1745"/>
      <c r="M21" s="1745"/>
      <c r="N21" s="1745"/>
      <c r="O21" s="1745"/>
      <c r="P21" s="1745"/>
      <c r="Q21" s="1745"/>
      <c r="R21" s="1746"/>
      <c r="S21" s="1747">
        <f t="shared" si="1"/>
        <v>0</v>
      </c>
      <c r="T21" s="1748" cm="1">
        <f t="array" ref="T21">SUM(F21:R21)*SUM(C21:E21)-SUM(C21:E21*L21)</f>
        <v>0</v>
      </c>
      <c r="U21" s="514">
        <f>SUM(L20:L27)</f>
        <v>0</v>
      </c>
      <c r="V21" s="2132"/>
      <c r="W21" s="400"/>
      <c r="X21" s="400"/>
      <c r="Y21" s="400"/>
      <c r="Z21" s="400"/>
      <c r="AA21" s="400"/>
      <c r="AB21" s="400"/>
      <c r="AC21" s="400"/>
      <c r="AD21" s="400"/>
      <c r="AE21" s="400"/>
      <c r="AF21" s="400"/>
      <c r="AG21" s="400"/>
      <c r="AH21" s="400"/>
      <c r="AI21" s="400"/>
    </row>
    <row r="22" spans="1:35" s="5" customFormat="1" ht="14" customHeight="1">
      <c r="A22" s="821" t="s">
        <v>360</v>
      </c>
      <c r="B22" s="1749"/>
      <c r="C22" s="1705"/>
      <c r="D22" s="1743"/>
      <c r="E22" s="1744"/>
      <c r="F22" s="1742"/>
      <c r="G22" s="1745"/>
      <c r="H22" s="1745"/>
      <c r="I22" s="1745"/>
      <c r="J22" s="1745"/>
      <c r="K22" s="1745"/>
      <c r="L22" s="1745"/>
      <c r="M22" s="1745"/>
      <c r="N22" s="1745"/>
      <c r="O22" s="1745"/>
      <c r="P22" s="1745"/>
      <c r="Q22" s="1745"/>
      <c r="R22" s="1746"/>
      <c r="S22" s="1747">
        <f t="shared" si="1"/>
        <v>0</v>
      </c>
      <c r="T22" s="1748" cm="1">
        <f t="array" ref="T22">SUM(F22:R22)*SUM(C22:E22)-SUM(C22:E22*L22)</f>
        <v>0</v>
      </c>
      <c r="U22" s="514">
        <f>U20-U21</f>
        <v>0</v>
      </c>
      <c r="V22" s="2132"/>
      <c r="W22" s="400"/>
      <c r="X22" s="400"/>
      <c r="Y22" s="400"/>
      <c r="Z22" s="400"/>
      <c r="AA22" s="400"/>
      <c r="AB22" s="400"/>
      <c r="AC22" s="400"/>
      <c r="AD22" s="400"/>
      <c r="AE22" s="400"/>
      <c r="AF22" s="400"/>
      <c r="AG22" s="400"/>
      <c r="AH22" s="400"/>
      <c r="AI22" s="400"/>
    </row>
    <row r="23" spans="1:35" s="5" customFormat="1" ht="14" customHeight="1">
      <c r="A23" s="821" t="s">
        <v>361</v>
      </c>
      <c r="B23" s="1749"/>
      <c r="C23" s="1705"/>
      <c r="D23" s="1743"/>
      <c r="E23" s="1744"/>
      <c r="F23" s="1742"/>
      <c r="G23" s="1745"/>
      <c r="H23" s="1745"/>
      <c r="I23" s="1745"/>
      <c r="J23" s="1745"/>
      <c r="K23" s="1745"/>
      <c r="L23" s="1745"/>
      <c r="M23" s="1745"/>
      <c r="N23" s="1745"/>
      <c r="O23" s="1745"/>
      <c r="P23" s="1745"/>
      <c r="Q23" s="1745"/>
      <c r="R23" s="1746"/>
      <c r="S23" s="1747">
        <f t="shared" si="1"/>
        <v>0</v>
      </c>
      <c r="T23" s="1748" cm="1">
        <f t="array" ref="T23">SUM(F23:R23)*SUM(C23:E23)-SUM(C23:E23*L23)</f>
        <v>0</v>
      </c>
      <c r="U23" s="514">
        <f>IF($T$3&gt;0,U22/$T$3,0)</f>
        <v>0</v>
      </c>
      <c r="V23" s="2132">
        <f>U23*0.75</f>
        <v>0</v>
      </c>
      <c r="W23" s="400"/>
      <c r="X23" s="400"/>
      <c r="Y23" s="400"/>
      <c r="Z23" s="400"/>
      <c r="AA23" s="400"/>
      <c r="AB23" s="400"/>
      <c r="AC23" s="400"/>
      <c r="AD23" s="400"/>
      <c r="AE23" s="400"/>
      <c r="AF23" s="400"/>
      <c r="AG23" s="400"/>
      <c r="AH23" s="400"/>
      <c r="AI23" s="400"/>
    </row>
    <row r="24" spans="1:35" s="5" customFormat="1" ht="14" customHeight="1">
      <c r="A24" s="821" t="s">
        <v>362</v>
      </c>
      <c r="B24" s="1741"/>
      <c r="C24" s="1742"/>
      <c r="D24" s="1743"/>
      <c r="E24" s="1744"/>
      <c r="F24" s="1742"/>
      <c r="G24" s="1745"/>
      <c r="H24" s="1745"/>
      <c r="I24" s="1745"/>
      <c r="J24" s="1745"/>
      <c r="K24" s="1745"/>
      <c r="L24" s="1745"/>
      <c r="M24" s="1745"/>
      <c r="N24" s="1745"/>
      <c r="O24" s="1745"/>
      <c r="P24" s="1745"/>
      <c r="Q24" s="1745"/>
      <c r="R24" s="1746"/>
      <c r="S24" s="1747">
        <f t="shared" si="1"/>
        <v>0</v>
      </c>
      <c r="T24" s="1748" cm="1">
        <f t="array" ref="T24">SUM(F24:R24)*SUM(C24:E24)-SUM(C24:E24*L24)</f>
        <v>0</v>
      </c>
      <c r="U24" s="514"/>
      <c r="V24" s="2132"/>
      <c r="W24" s="400"/>
      <c r="X24" s="400"/>
      <c r="Y24" s="400"/>
      <c r="Z24" s="400"/>
      <c r="AA24" s="400"/>
      <c r="AB24" s="400"/>
      <c r="AC24" s="400"/>
      <c r="AD24" s="400"/>
      <c r="AE24" s="400"/>
      <c r="AF24" s="400"/>
      <c r="AG24" s="400"/>
      <c r="AH24" s="400"/>
      <c r="AI24" s="400"/>
    </row>
    <row r="25" spans="1:35" s="5" customFormat="1" ht="14" customHeight="1">
      <c r="A25" s="821" t="s">
        <v>363</v>
      </c>
      <c r="B25" s="1749"/>
      <c r="C25" s="1705"/>
      <c r="D25" s="1743"/>
      <c r="E25" s="1744"/>
      <c r="F25" s="1742"/>
      <c r="G25" s="1745"/>
      <c r="H25" s="1745"/>
      <c r="I25" s="1745"/>
      <c r="J25" s="1745"/>
      <c r="K25" s="1745"/>
      <c r="L25" s="1745"/>
      <c r="M25" s="1745"/>
      <c r="N25" s="1745"/>
      <c r="O25" s="1745"/>
      <c r="P25" s="1745"/>
      <c r="Q25" s="1745"/>
      <c r="R25" s="1746"/>
      <c r="S25" s="1747">
        <f t="shared" si="1"/>
        <v>0</v>
      </c>
      <c r="T25" s="1748" cm="1">
        <f t="array" ref="T25">SUM(F25:R25)*SUM(C25:E25)-SUM(C25:E25*L25)</f>
        <v>0</v>
      </c>
      <c r="U25" s="2124"/>
      <c r="V25" s="2132"/>
      <c r="W25" s="400"/>
      <c r="X25" s="400"/>
      <c r="Y25" s="400"/>
      <c r="Z25" s="400"/>
      <c r="AA25" s="400"/>
      <c r="AB25" s="400"/>
      <c r="AC25" s="400"/>
      <c r="AD25" s="400"/>
      <c r="AE25" s="400"/>
      <c r="AF25" s="400"/>
      <c r="AG25" s="400"/>
      <c r="AH25" s="400"/>
      <c r="AI25" s="400"/>
    </row>
    <row r="26" spans="1:35" s="5" customFormat="1" ht="14" customHeight="1">
      <c r="A26" s="821" t="s">
        <v>364</v>
      </c>
      <c r="B26" s="1749"/>
      <c r="C26" s="1705"/>
      <c r="D26" s="1743"/>
      <c r="E26" s="1744"/>
      <c r="F26" s="1742"/>
      <c r="G26" s="1745"/>
      <c r="H26" s="1745"/>
      <c r="I26" s="1745"/>
      <c r="J26" s="1745"/>
      <c r="K26" s="1745"/>
      <c r="L26" s="1745"/>
      <c r="M26" s="1745"/>
      <c r="N26" s="1745"/>
      <c r="O26" s="1745"/>
      <c r="P26" s="1745"/>
      <c r="Q26" s="1745"/>
      <c r="R26" s="1746"/>
      <c r="S26" s="1747">
        <f t="shared" si="1"/>
        <v>0</v>
      </c>
      <c r="T26" s="1748" cm="1">
        <f t="array" ref="T26">SUM(F26:R26)*SUM(C26:E26)-SUM(C26:E26*L26)</f>
        <v>0</v>
      </c>
      <c r="U26" s="2124"/>
      <c r="V26" s="2132"/>
      <c r="W26" s="400"/>
      <c r="X26" s="400"/>
      <c r="Y26" s="400"/>
      <c r="Z26" s="400"/>
      <c r="AA26" s="400"/>
      <c r="AB26" s="400"/>
      <c r="AC26" s="400"/>
      <c r="AD26" s="400"/>
      <c r="AE26" s="400"/>
      <c r="AF26" s="400"/>
      <c r="AG26" s="400"/>
      <c r="AH26" s="400"/>
      <c r="AI26" s="400"/>
    </row>
    <row r="27" spans="1:35" s="5" customFormat="1" ht="14" customHeight="1" thickBot="1">
      <c r="A27" s="821" t="s">
        <v>365</v>
      </c>
      <c r="B27" s="1749"/>
      <c r="C27" s="1705"/>
      <c r="D27" s="1743"/>
      <c r="E27" s="1744"/>
      <c r="F27" s="1742"/>
      <c r="G27" s="1745"/>
      <c r="H27" s="1745"/>
      <c r="I27" s="1745"/>
      <c r="J27" s="1745"/>
      <c r="K27" s="1745"/>
      <c r="L27" s="1745"/>
      <c r="M27" s="1745"/>
      <c r="N27" s="1745"/>
      <c r="O27" s="1745"/>
      <c r="P27" s="1745"/>
      <c r="Q27" s="1745"/>
      <c r="R27" s="1746"/>
      <c r="S27" s="1747">
        <f t="shared" si="1"/>
        <v>0</v>
      </c>
      <c r="T27" s="1748" cm="1">
        <f t="array" ref="T27">SUM(F27:R27)*SUM(C27:E27)-SUM(C27:E27*L27)</f>
        <v>0</v>
      </c>
      <c r="U27" s="2124"/>
      <c r="V27" s="2132"/>
      <c r="W27" s="400"/>
      <c r="X27" s="400"/>
      <c r="Y27" s="400"/>
      <c r="Z27" s="400"/>
      <c r="AA27" s="400"/>
      <c r="AB27" s="400"/>
      <c r="AC27" s="400"/>
      <c r="AD27" s="400"/>
      <c r="AE27" s="400"/>
      <c r="AF27" s="400"/>
      <c r="AG27" s="400"/>
      <c r="AH27" s="400"/>
      <c r="AI27" s="400"/>
    </row>
    <row r="28" spans="1:35" s="22" customFormat="1" ht="20" customHeight="1" thickBot="1">
      <c r="A28" s="3426" t="s">
        <v>1463</v>
      </c>
      <c r="B28" s="3427"/>
      <c r="C28" s="3427"/>
      <c r="D28" s="3427"/>
      <c r="E28" s="3427"/>
      <c r="F28" s="3427"/>
      <c r="G28" s="3427"/>
      <c r="H28" s="3427"/>
      <c r="I28" s="3427"/>
      <c r="J28" s="3427"/>
      <c r="K28" s="3427"/>
      <c r="L28" s="3427"/>
      <c r="M28" s="3427"/>
      <c r="N28" s="3427"/>
      <c r="O28" s="3427"/>
      <c r="P28" s="3427"/>
      <c r="Q28" s="3427"/>
      <c r="R28" s="3427"/>
      <c r="S28" s="3427"/>
      <c r="T28" s="3428"/>
      <c r="U28" s="2123"/>
      <c r="V28" s="2131"/>
      <c r="W28" s="399"/>
      <c r="X28" s="399"/>
      <c r="Y28" s="399"/>
      <c r="Z28" s="399"/>
      <c r="AA28" s="399"/>
      <c r="AB28" s="399"/>
      <c r="AC28" s="399"/>
      <c r="AD28" s="399"/>
      <c r="AE28" s="399"/>
      <c r="AF28" s="399"/>
      <c r="AG28" s="399"/>
      <c r="AH28" s="399"/>
      <c r="AI28" s="399"/>
    </row>
    <row r="29" spans="1:35" s="5" customFormat="1" ht="14" customHeight="1">
      <c r="A29" s="511" t="s">
        <v>358</v>
      </c>
      <c r="B29" s="2465"/>
      <c r="C29" s="2466"/>
      <c r="D29" s="2467"/>
      <c r="E29" s="2468"/>
      <c r="F29" s="2469"/>
      <c r="G29" s="2470"/>
      <c r="H29" s="2470"/>
      <c r="I29" s="2470"/>
      <c r="J29" s="2470"/>
      <c r="K29" s="2470"/>
      <c r="L29" s="2470"/>
      <c r="M29" s="2470"/>
      <c r="N29" s="2470"/>
      <c r="O29" s="2470"/>
      <c r="P29" s="2470"/>
      <c r="Q29" s="2470"/>
      <c r="R29" s="2471"/>
      <c r="S29" s="1747">
        <f t="shared" ref="S29:S36" si="2">SUM(F29:R29)*B29-(M29*B29)</f>
        <v>0</v>
      </c>
      <c r="T29" s="1748" cm="1">
        <f t="array" ref="T29">SUM(F29:R29)*SUM(C29:E29)-SUM(C29:E29*L29)</f>
        <v>0</v>
      </c>
      <c r="U29" s="514">
        <f>SUM(F29:R36)</f>
        <v>0</v>
      </c>
      <c r="V29" s="2132"/>
      <c r="W29" s="400"/>
      <c r="X29" s="400"/>
      <c r="Y29" s="400"/>
      <c r="Z29" s="400"/>
      <c r="AA29" s="400"/>
      <c r="AB29" s="400"/>
      <c r="AC29" s="400"/>
      <c r="AD29" s="400"/>
      <c r="AE29" s="400"/>
      <c r="AF29" s="400"/>
      <c r="AG29" s="400"/>
      <c r="AH29" s="400"/>
      <c r="AI29" s="400"/>
    </row>
    <row r="30" spans="1:35" s="5" customFormat="1" ht="14" customHeight="1">
      <c r="A30" s="821" t="s">
        <v>359</v>
      </c>
      <c r="B30" s="1749"/>
      <c r="C30" s="1705"/>
      <c r="D30" s="1743"/>
      <c r="E30" s="1744"/>
      <c r="F30" s="1742"/>
      <c r="G30" s="1745"/>
      <c r="H30" s="1745"/>
      <c r="I30" s="1745"/>
      <c r="J30" s="1745"/>
      <c r="K30" s="1745"/>
      <c r="L30" s="1745"/>
      <c r="M30" s="1745"/>
      <c r="N30" s="1745"/>
      <c r="O30" s="1745"/>
      <c r="P30" s="1745"/>
      <c r="Q30" s="1745"/>
      <c r="R30" s="1746"/>
      <c r="S30" s="1747">
        <f t="shared" si="2"/>
        <v>0</v>
      </c>
      <c r="T30" s="1748" cm="1">
        <f t="array" ref="T30">SUM(F30:R30)*SUM(C30:E30)-SUM(C30:E30*L30)</f>
        <v>0</v>
      </c>
      <c r="U30" s="514">
        <f>SUM(L29:L36)</f>
        <v>0</v>
      </c>
      <c r="V30" s="2132"/>
      <c r="W30" s="400"/>
      <c r="X30" s="400"/>
      <c r="Y30" s="400"/>
      <c r="Z30" s="400"/>
      <c r="AA30" s="400"/>
      <c r="AB30" s="400"/>
      <c r="AC30" s="400"/>
      <c r="AD30" s="400"/>
      <c r="AE30" s="400"/>
      <c r="AF30" s="400"/>
      <c r="AG30" s="400"/>
      <c r="AH30" s="400"/>
      <c r="AI30" s="400"/>
    </row>
    <row r="31" spans="1:35" s="5" customFormat="1" ht="14" customHeight="1">
      <c r="A31" s="821" t="s">
        <v>360</v>
      </c>
      <c r="B31" s="1741"/>
      <c r="C31" s="1742"/>
      <c r="D31" s="1743"/>
      <c r="E31" s="1744"/>
      <c r="F31" s="1742"/>
      <c r="G31" s="1745"/>
      <c r="H31" s="1745"/>
      <c r="I31" s="1745"/>
      <c r="J31" s="1745"/>
      <c r="K31" s="1745"/>
      <c r="L31" s="1745"/>
      <c r="M31" s="1745"/>
      <c r="N31" s="1745"/>
      <c r="O31" s="1745"/>
      <c r="P31" s="1745"/>
      <c r="Q31" s="1745"/>
      <c r="R31" s="1746"/>
      <c r="S31" s="1747">
        <f t="shared" si="2"/>
        <v>0</v>
      </c>
      <c r="T31" s="1748" cm="1">
        <f t="array" ref="T31">SUM(F31:R31)*SUM(C31:E31)-SUM(C31:E31*L31)</f>
        <v>0</v>
      </c>
      <c r="U31" s="514">
        <f>U29-U30</f>
        <v>0</v>
      </c>
      <c r="V31" s="2132"/>
      <c r="W31" s="400"/>
      <c r="X31" s="400"/>
      <c r="Y31" s="400"/>
      <c r="Z31" s="400"/>
      <c r="AA31" s="400"/>
      <c r="AB31" s="400"/>
      <c r="AC31" s="400"/>
      <c r="AD31" s="400"/>
      <c r="AE31" s="400"/>
      <c r="AF31" s="400"/>
      <c r="AG31" s="400"/>
      <c r="AH31" s="400"/>
      <c r="AI31" s="400"/>
    </row>
    <row r="32" spans="1:35" s="5" customFormat="1" ht="14" customHeight="1">
      <c r="A32" s="821" t="s">
        <v>361</v>
      </c>
      <c r="B32" s="1741"/>
      <c r="C32" s="1742"/>
      <c r="D32" s="1743"/>
      <c r="E32" s="1744"/>
      <c r="F32" s="1742"/>
      <c r="G32" s="1745"/>
      <c r="H32" s="1745"/>
      <c r="I32" s="1745"/>
      <c r="J32" s="1745"/>
      <c r="K32" s="1745"/>
      <c r="L32" s="1745"/>
      <c r="M32" s="1745"/>
      <c r="N32" s="1745"/>
      <c r="O32" s="1745"/>
      <c r="P32" s="1745"/>
      <c r="Q32" s="1745"/>
      <c r="R32" s="1746"/>
      <c r="S32" s="1747">
        <f t="shared" si="2"/>
        <v>0</v>
      </c>
      <c r="T32" s="1748" cm="1">
        <f t="array" ref="T32">SUM(F32:R32)*SUM(C32:E32)-SUM(C32:E32*L32)</f>
        <v>0</v>
      </c>
      <c r="U32" s="514">
        <f>IF($T$3&gt;0,U31/$T$3,0)</f>
        <v>0</v>
      </c>
      <c r="V32" s="2132">
        <f>U32</f>
        <v>0</v>
      </c>
      <c r="W32" s="400"/>
      <c r="X32" s="400"/>
      <c r="Y32" s="400"/>
      <c r="Z32" s="400"/>
      <c r="AA32" s="400"/>
      <c r="AB32" s="400"/>
      <c r="AC32" s="400"/>
      <c r="AD32" s="400"/>
      <c r="AE32" s="400"/>
      <c r="AF32" s="400"/>
      <c r="AG32" s="400"/>
      <c r="AH32" s="400"/>
      <c r="AI32" s="400"/>
    </row>
    <row r="33" spans="1:35" s="5" customFormat="1" ht="14" customHeight="1">
      <c r="A33" s="821" t="s">
        <v>362</v>
      </c>
      <c r="B33" s="1741"/>
      <c r="C33" s="1742"/>
      <c r="D33" s="1743"/>
      <c r="E33" s="1744"/>
      <c r="F33" s="1742"/>
      <c r="G33" s="1745"/>
      <c r="H33" s="1745"/>
      <c r="I33" s="1745"/>
      <c r="J33" s="1745"/>
      <c r="K33" s="1745"/>
      <c r="L33" s="1745"/>
      <c r="M33" s="1745"/>
      <c r="N33" s="1745"/>
      <c r="O33" s="1745"/>
      <c r="P33" s="1745"/>
      <c r="Q33" s="1745"/>
      <c r="R33" s="1746"/>
      <c r="S33" s="1747">
        <f t="shared" si="2"/>
        <v>0</v>
      </c>
      <c r="T33" s="1748" cm="1">
        <f t="array" ref="T33">SUM(F33:R33)*SUM(C33:E33)-SUM(C33:E33*L33)</f>
        <v>0</v>
      </c>
      <c r="U33" s="514"/>
      <c r="V33" s="2132"/>
      <c r="W33" s="400"/>
      <c r="X33" s="400"/>
      <c r="Y33" s="400"/>
      <c r="Z33" s="400"/>
      <c r="AA33" s="400"/>
      <c r="AB33" s="400"/>
      <c r="AC33" s="400"/>
      <c r="AD33" s="400"/>
      <c r="AE33" s="400"/>
      <c r="AF33" s="400"/>
      <c r="AG33" s="400"/>
      <c r="AH33" s="400"/>
      <c r="AI33" s="400"/>
    </row>
    <row r="34" spans="1:35" s="5" customFormat="1" ht="14" customHeight="1">
      <c r="A34" s="821" t="s">
        <v>363</v>
      </c>
      <c r="B34" s="1741"/>
      <c r="C34" s="1742"/>
      <c r="D34" s="1743"/>
      <c r="E34" s="1744"/>
      <c r="F34" s="1742"/>
      <c r="G34" s="1745"/>
      <c r="H34" s="1745"/>
      <c r="I34" s="1745"/>
      <c r="J34" s="1745"/>
      <c r="K34" s="1745"/>
      <c r="L34" s="1745"/>
      <c r="M34" s="1745"/>
      <c r="N34" s="1745"/>
      <c r="O34" s="1745"/>
      <c r="P34" s="1745"/>
      <c r="Q34" s="1745"/>
      <c r="R34" s="1746"/>
      <c r="S34" s="1747">
        <f t="shared" si="2"/>
        <v>0</v>
      </c>
      <c r="T34" s="1748" cm="1">
        <f t="array" ref="T34">SUM(F34:R34)*SUM(C34:E34)-SUM(C34:E34*L34)</f>
        <v>0</v>
      </c>
      <c r="U34" s="514"/>
      <c r="V34" s="2132"/>
      <c r="W34" s="400"/>
      <c r="X34" s="400"/>
      <c r="Y34" s="400"/>
      <c r="Z34" s="400"/>
      <c r="AA34" s="400"/>
      <c r="AB34" s="400"/>
      <c r="AC34" s="400"/>
      <c r="AD34" s="400"/>
      <c r="AE34" s="400"/>
      <c r="AF34" s="400"/>
      <c r="AG34" s="400"/>
      <c r="AH34" s="400"/>
      <c r="AI34" s="400"/>
    </row>
    <row r="35" spans="1:35" s="5" customFormat="1" ht="14" customHeight="1">
      <c r="A35" s="821" t="s">
        <v>364</v>
      </c>
      <c r="B35" s="1741"/>
      <c r="C35" s="1742"/>
      <c r="D35" s="1743"/>
      <c r="E35" s="1744"/>
      <c r="F35" s="1742"/>
      <c r="G35" s="1745"/>
      <c r="H35" s="1745"/>
      <c r="I35" s="1745"/>
      <c r="J35" s="1745"/>
      <c r="K35" s="1745"/>
      <c r="L35" s="1745"/>
      <c r="M35" s="1745"/>
      <c r="N35" s="1745"/>
      <c r="O35" s="1745"/>
      <c r="P35" s="1745"/>
      <c r="Q35" s="1745"/>
      <c r="R35" s="1746"/>
      <c r="S35" s="1747">
        <f t="shared" si="2"/>
        <v>0</v>
      </c>
      <c r="T35" s="1748" cm="1">
        <f t="array" ref="T35">SUM(F35:R35)*SUM(C35:E35)-SUM(C35:E35*L35)</f>
        <v>0</v>
      </c>
      <c r="U35" s="514"/>
      <c r="V35" s="2132"/>
      <c r="W35" s="400"/>
      <c r="X35" s="400"/>
      <c r="Y35" s="400"/>
      <c r="Z35" s="400"/>
      <c r="AA35" s="400"/>
      <c r="AB35" s="400"/>
      <c r="AC35" s="400"/>
      <c r="AD35" s="400"/>
      <c r="AE35" s="400"/>
      <c r="AF35" s="400"/>
      <c r="AG35" s="400"/>
      <c r="AH35" s="400"/>
      <c r="AI35" s="400"/>
    </row>
    <row r="36" spans="1:35" s="5" customFormat="1" ht="14" customHeight="1" thickBot="1">
      <c r="A36" s="821" t="s">
        <v>365</v>
      </c>
      <c r="B36" s="1750"/>
      <c r="C36" s="1751"/>
      <c r="D36" s="1752"/>
      <c r="E36" s="1753"/>
      <c r="F36" s="1718"/>
      <c r="G36" s="1719"/>
      <c r="H36" s="1719"/>
      <c r="I36" s="1719"/>
      <c r="J36" s="1719"/>
      <c r="K36" s="1719"/>
      <c r="L36" s="1719"/>
      <c r="M36" s="1719"/>
      <c r="N36" s="1719"/>
      <c r="O36" s="1719"/>
      <c r="P36" s="1719"/>
      <c r="Q36" s="1719"/>
      <c r="R36" s="1753"/>
      <c r="S36" s="1747">
        <f t="shared" si="2"/>
        <v>0</v>
      </c>
      <c r="T36" s="1748" cm="1">
        <f t="array" ref="T36">SUM(F36:R36)*SUM(C36:E36)-SUM(C36:E36*L36)</f>
        <v>0</v>
      </c>
      <c r="U36" s="514"/>
      <c r="V36" s="2132"/>
      <c r="W36" s="400"/>
      <c r="X36" s="400"/>
      <c r="Y36" s="400"/>
      <c r="Z36" s="400"/>
      <c r="AA36" s="400"/>
      <c r="AB36" s="400"/>
      <c r="AC36" s="400"/>
      <c r="AD36" s="400"/>
      <c r="AE36" s="400"/>
      <c r="AF36" s="400"/>
      <c r="AG36" s="400"/>
      <c r="AH36" s="400"/>
      <c r="AI36" s="400"/>
    </row>
    <row r="37" spans="1:35" s="5" customFormat="1" ht="16.5" customHeight="1" thickBot="1">
      <c r="A37" s="823"/>
      <c r="B37" s="507" t="str">
        <f>"Indtægter i alt til hovedskema. Lin. 18 og 25"</f>
        <v>Indtægter i alt til hovedskema. Lin. 18 og 25</v>
      </c>
      <c r="C37" s="507"/>
      <c r="D37" s="507"/>
      <c r="E37" s="507"/>
      <c r="F37" s="507"/>
      <c r="G37" s="507"/>
      <c r="H37" s="507"/>
      <c r="I37" s="507"/>
      <c r="J37" s="507"/>
      <c r="K37" s="507"/>
      <c r="L37" s="507"/>
      <c r="M37" s="507"/>
      <c r="N37" s="507"/>
      <c r="O37" s="507"/>
      <c r="P37" s="507"/>
      <c r="Q37" s="507"/>
      <c r="R37" s="507"/>
      <c r="S37" s="824">
        <f>SUM(S11:S36)</f>
        <v>0</v>
      </c>
      <c r="T37" s="825">
        <f>SUM(T11:T36)</f>
        <v>0</v>
      </c>
      <c r="U37" s="514"/>
      <c r="V37" s="2132"/>
      <c r="W37" s="400"/>
      <c r="X37" s="400"/>
      <c r="Y37" s="400"/>
      <c r="Z37" s="400"/>
      <c r="AA37" s="400"/>
      <c r="AB37" s="400"/>
      <c r="AC37" s="400"/>
      <c r="AD37" s="400"/>
      <c r="AE37" s="400"/>
      <c r="AF37" s="400"/>
      <c r="AG37" s="400"/>
      <c r="AH37" s="400"/>
      <c r="AI37" s="400"/>
    </row>
    <row r="38" spans="1:35" s="5" customFormat="1" ht="24" customHeight="1">
      <c r="A38" s="3274" t="s">
        <v>816</v>
      </c>
      <c r="B38" s="3275"/>
      <c r="C38" s="3275"/>
      <c r="D38" s="3275"/>
      <c r="E38" s="3275"/>
      <c r="F38" s="3275"/>
      <c r="G38" s="3275"/>
      <c r="H38" s="3275"/>
      <c r="I38" s="3275"/>
      <c r="J38" s="3275"/>
      <c r="K38" s="3275"/>
      <c r="L38" s="3275"/>
      <c r="M38" s="3275"/>
      <c r="N38" s="3275"/>
      <c r="O38" s="3275"/>
      <c r="P38" s="3275"/>
      <c r="Q38" s="3275"/>
      <c r="R38" s="3275"/>
      <c r="S38" s="3275"/>
      <c r="T38" s="3276"/>
      <c r="U38" s="514"/>
      <c r="V38" s="2132"/>
      <c r="W38" s="400"/>
      <c r="X38" s="400"/>
      <c r="Y38" s="400"/>
      <c r="Z38" s="400"/>
      <c r="AA38" s="400"/>
      <c r="AB38" s="400"/>
      <c r="AC38" s="400"/>
      <c r="AD38" s="400"/>
      <c r="AE38" s="400"/>
      <c r="AF38" s="400"/>
      <c r="AG38" s="400"/>
      <c r="AH38" s="400"/>
    </row>
    <row r="39" spans="1:35" s="5" customFormat="1" ht="17" customHeight="1" thickBot="1">
      <c r="A39" s="3277" t="str">
        <f>"(ønskes flere rækker, kan disse indsættes imellem linie "&amp;U40&amp;" - "&amp;U44&amp;""</f>
        <v>(ønskes flere rækker, kan disse indsættes imellem linie 40 - 44</v>
      </c>
      <c r="B39" s="3278"/>
      <c r="C39" s="3278"/>
      <c r="D39" s="3278"/>
      <c r="E39" s="3278"/>
      <c r="F39" s="3278"/>
      <c r="G39" s="3278"/>
      <c r="H39" s="3278"/>
      <c r="I39" s="3278"/>
      <c r="J39" s="3278"/>
      <c r="K39" s="3278"/>
      <c r="L39" s="3278"/>
      <c r="M39" s="3278"/>
      <c r="N39" s="3278"/>
      <c r="O39" s="3278"/>
      <c r="P39" s="3278"/>
      <c r="Q39" s="3278"/>
      <c r="R39" s="3278"/>
      <c r="S39" s="3278"/>
      <c r="T39" s="3279"/>
      <c r="U39" s="514"/>
      <c r="V39" s="2132"/>
      <c r="W39" s="400"/>
      <c r="X39" s="400"/>
      <c r="Y39" s="400"/>
      <c r="Z39" s="400"/>
      <c r="AA39" s="400"/>
      <c r="AB39" s="400"/>
      <c r="AC39" s="400"/>
      <c r="AD39" s="400"/>
      <c r="AE39" s="400"/>
      <c r="AF39" s="400"/>
      <c r="AG39" s="400"/>
      <c r="AH39" s="400"/>
    </row>
    <row r="40" spans="1:35" s="5" customFormat="1" ht="14" customHeight="1">
      <c r="A40" s="1721" t="s">
        <v>761</v>
      </c>
      <c r="B40" s="508"/>
      <c r="C40" s="508"/>
      <c r="D40" s="508"/>
      <c r="E40" s="508"/>
      <c r="F40" s="508"/>
      <c r="G40" s="508"/>
      <c r="H40" s="508"/>
      <c r="I40" s="508"/>
      <c r="J40" s="508"/>
      <c r="K40" s="508"/>
      <c r="L40" s="508"/>
      <c r="M40" s="508"/>
      <c r="N40" s="508"/>
      <c r="O40" s="508"/>
      <c r="P40" s="508"/>
      <c r="Q40" s="508"/>
      <c r="R40" s="508"/>
      <c r="S40" s="3280"/>
      <c r="T40" s="3281"/>
      <c r="U40" s="514">
        <f>ROW(T40)</f>
        <v>40</v>
      </c>
      <c r="V40" s="2132"/>
      <c r="W40" s="400"/>
      <c r="X40" s="400"/>
      <c r="Y40" s="400"/>
      <c r="Z40" s="400"/>
      <c r="AA40" s="400"/>
      <c r="AB40" s="400"/>
      <c r="AC40" s="400"/>
      <c r="AD40" s="400"/>
      <c r="AE40" s="400"/>
      <c r="AF40" s="400"/>
      <c r="AG40" s="400"/>
      <c r="AH40" s="400"/>
    </row>
    <row r="41" spans="1:35" s="5" customFormat="1" ht="14" customHeight="1">
      <c r="A41" s="3270" t="s">
        <v>708</v>
      </c>
      <c r="B41" s="3271"/>
      <c r="C41" s="3271"/>
      <c r="D41" s="3271"/>
      <c r="E41" s="3271"/>
      <c r="F41" s="3271"/>
      <c r="G41" s="3271"/>
      <c r="H41" s="3271"/>
      <c r="I41" s="3271"/>
      <c r="J41" s="3271"/>
      <c r="K41" s="3271"/>
      <c r="L41" s="3271"/>
      <c r="M41" s="3271"/>
      <c r="N41" s="3271"/>
      <c r="O41" s="3271"/>
      <c r="P41" s="3271"/>
      <c r="Q41" s="3271"/>
      <c r="R41" s="3271"/>
      <c r="S41" s="3282"/>
      <c r="T41" s="3283"/>
      <c r="U41" s="514"/>
      <c r="V41" s="2132"/>
      <c r="W41" s="400"/>
      <c r="X41" s="400"/>
      <c r="Y41" s="400"/>
      <c r="Z41" s="400"/>
      <c r="AA41" s="400"/>
      <c r="AB41" s="400"/>
      <c r="AC41" s="400"/>
      <c r="AD41" s="400"/>
      <c r="AE41" s="400"/>
      <c r="AF41" s="400"/>
      <c r="AG41" s="400"/>
      <c r="AH41" s="400"/>
    </row>
    <row r="42" spans="1:35" s="5" customFormat="1" ht="14" customHeight="1">
      <c r="A42" s="3270" t="s">
        <v>415</v>
      </c>
      <c r="B42" s="3271"/>
      <c r="C42" s="3271"/>
      <c r="D42" s="3271"/>
      <c r="E42" s="3271"/>
      <c r="F42" s="3271"/>
      <c r="G42" s="3271"/>
      <c r="H42" s="3271"/>
      <c r="I42" s="3271"/>
      <c r="J42" s="3271"/>
      <c r="K42" s="3271"/>
      <c r="L42" s="3271"/>
      <c r="M42" s="3271"/>
      <c r="N42" s="3271"/>
      <c r="O42" s="3271"/>
      <c r="P42" s="3271"/>
      <c r="Q42" s="3271"/>
      <c r="R42" s="3271"/>
      <c r="S42" s="3282"/>
      <c r="T42" s="3283"/>
      <c r="U42" s="514"/>
      <c r="V42" s="2132"/>
      <c r="W42" s="400"/>
      <c r="X42" s="400"/>
      <c r="Y42" s="400"/>
      <c r="Z42" s="400"/>
      <c r="AA42" s="400"/>
      <c r="AB42" s="400"/>
      <c r="AC42" s="400"/>
      <c r="AD42" s="400"/>
      <c r="AE42" s="400"/>
      <c r="AF42" s="400"/>
      <c r="AG42" s="400"/>
      <c r="AH42" s="400"/>
    </row>
    <row r="43" spans="1:35" s="5" customFormat="1" ht="14" customHeight="1">
      <c r="A43" s="3270"/>
      <c r="B43" s="3271"/>
      <c r="C43" s="3271"/>
      <c r="D43" s="3271"/>
      <c r="E43" s="3271"/>
      <c r="F43" s="3271"/>
      <c r="G43" s="3271"/>
      <c r="H43" s="3271"/>
      <c r="I43" s="3271"/>
      <c r="J43" s="3271"/>
      <c r="K43" s="3271"/>
      <c r="L43" s="3271"/>
      <c r="M43" s="3271"/>
      <c r="N43" s="3271"/>
      <c r="O43" s="3271"/>
      <c r="P43" s="3271"/>
      <c r="Q43" s="3271"/>
      <c r="R43" s="3271"/>
      <c r="S43" s="3282"/>
      <c r="T43" s="3283"/>
      <c r="U43" s="514"/>
      <c r="V43" s="2132"/>
      <c r="W43" s="400"/>
      <c r="X43" s="400"/>
      <c r="Y43" s="400"/>
      <c r="Z43" s="400"/>
      <c r="AA43" s="400"/>
      <c r="AB43" s="400"/>
      <c r="AC43" s="400"/>
      <c r="AD43" s="400"/>
      <c r="AE43" s="400"/>
      <c r="AF43" s="400"/>
      <c r="AG43" s="400"/>
      <c r="AH43" s="400"/>
    </row>
    <row r="44" spans="1:35" s="5" customFormat="1" ht="14" customHeight="1" thickBot="1">
      <c r="A44" s="3270"/>
      <c r="B44" s="3271"/>
      <c r="C44" s="3271"/>
      <c r="D44" s="3271"/>
      <c r="E44" s="3271"/>
      <c r="F44" s="3271"/>
      <c r="G44" s="3271"/>
      <c r="H44" s="3271"/>
      <c r="I44" s="3271"/>
      <c r="J44" s="3271"/>
      <c r="K44" s="3271"/>
      <c r="L44" s="3271"/>
      <c r="M44" s="3271"/>
      <c r="N44" s="3271"/>
      <c r="O44" s="3271"/>
      <c r="P44" s="3271"/>
      <c r="Q44" s="3271"/>
      <c r="R44" s="3271"/>
      <c r="S44" s="3284"/>
      <c r="T44" s="3285"/>
      <c r="U44" s="514">
        <f>ROW(T44)</f>
        <v>44</v>
      </c>
      <c r="V44" s="2132"/>
      <c r="W44" s="400"/>
      <c r="X44" s="400"/>
      <c r="Y44" s="400"/>
      <c r="Z44" s="400"/>
      <c r="AA44" s="400"/>
      <c r="AB44" s="400"/>
      <c r="AC44" s="400"/>
      <c r="AD44" s="400"/>
      <c r="AE44" s="400"/>
      <c r="AF44" s="400"/>
      <c r="AG44" s="400"/>
      <c r="AH44" s="400"/>
    </row>
    <row r="45" spans="1:35" s="5" customFormat="1" ht="14" customHeight="1" thickBot="1">
      <c r="A45" s="1754" t="s">
        <v>817</v>
      </c>
      <c r="B45" s="1755"/>
      <c r="C45" s="1755"/>
      <c r="D45" s="1755"/>
      <c r="E45" s="1755"/>
      <c r="F45" s="1755"/>
      <c r="G45" s="1755"/>
      <c r="H45" s="1755"/>
      <c r="I45" s="1755"/>
      <c r="J45" s="1755"/>
      <c r="K45" s="1755"/>
      <c r="L45" s="1755"/>
      <c r="M45" s="1755"/>
      <c r="N45" s="1755"/>
      <c r="O45" s="1755"/>
      <c r="P45" s="1755"/>
      <c r="Q45" s="1755"/>
      <c r="R45" s="1755"/>
      <c r="S45" s="3272">
        <f>SUM(S40:S44)</f>
        <v>0</v>
      </c>
      <c r="T45" s="3273"/>
      <c r="U45" s="514"/>
      <c r="V45" s="2132"/>
      <c r="W45" s="400"/>
      <c r="X45" s="400"/>
      <c r="Y45" s="400"/>
      <c r="Z45" s="400"/>
      <c r="AA45" s="400"/>
      <c r="AB45" s="400"/>
      <c r="AC45" s="400"/>
      <c r="AD45" s="400"/>
      <c r="AE45" s="400"/>
      <c r="AF45" s="400"/>
      <c r="AG45" s="400"/>
      <c r="AH45" s="400"/>
    </row>
    <row r="46" spans="1:35" s="5" customFormat="1" ht="24" customHeight="1">
      <c r="A46" s="3274" t="s">
        <v>818</v>
      </c>
      <c r="B46" s="3275"/>
      <c r="C46" s="3275"/>
      <c r="D46" s="3275"/>
      <c r="E46" s="3275"/>
      <c r="F46" s="3275"/>
      <c r="G46" s="3275"/>
      <c r="H46" s="3275"/>
      <c r="I46" s="3275"/>
      <c r="J46" s="3275"/>
      <c r="K46" s="3275"/>
      <c r="L46" s="3275"/>
      <c r="M46" s="3275"/>
      <c r="N46" s="3275"/>
      <c r="O46" s="3275"/>
      <c r="P46" s="3275"/>
      <c r="Q46" s="3275"/>
      <c r="R46" s="3275"/>
      <c r="S46" s="3275"/>
      <c r="T46" s="3276"/>
      <c r="U46" s="514"/>
      <c r="V46" s="2132"/>
      <c r="W46" s="400"/>
      <c r="X46" s="400"/>
      <c r="Y46" s="400"/>
      <c r="Z46" s="400"/>
      <c r="AA46" s="400"/>
      <c r="AB46" s="400"/>
      <c r="AC46" s="400"/>
      <c r="AD46" s="400"/>
      <c r="AE46" s="400"/>
      <c r="AF46" s="400"/>
      <c r="AG46" s="400"/>
      <c r="AH46" s="400"/>
    </row>
    <row r="47" spans="1:35" s="5" customFormat="1" ht="17" customHeight="1" thickBot="1">
      <c r="A47" s="3277" t="str">
        <f>"(ønskes flere rækker, kan disse indsættes imellem linie "&amp;U48&amp;" - "&amp;U52&amp;""</f>
        <v>(ønskes flere rækker, kan disse indsættes imellem linie 48 - 52</v>
      </c>
      <c r="B47" s="3278"/>
      <c r="C47" s="3278"/>
      <c r="D47" s="3278"/>
      <c r="E47" s="3278"/>
      <c r="F47" s="3278"/>
      <c r="G47" s="3278"/>
      <c r="H47" s="3278"/>
      <c r="I47" s="3278"/>
      <c r="J47" s="3278"/>
      <c r="K47" s="3278"/>
      <c r="L47" s="3278"/>
      <c r="M47" s="3278"/>
      <c r="N47" s="3278"/>
      <c r="O47" s="3278"/>
      <c r="P47" s="3278"/>
      <c r="Q47" s="3278"/>
      <c r="R47" s="3278"/>
      <c r="S47" s="3360"/>
      <c r="T47" s="3361"/>
      <c r="U47" s="514"/>
      <c r="V47" s="2132"/>
      <c r="W47" s="400"/>
      <c r="X47" s="400"/>
      <c r="Y47" s="400"/>
      <c r="Z47" s="400"/>
      <c r="AA47" s="400"/>
      <c r="AB47" s="400"/>
      <c r="AC47" s="400"/>
      <c r="AD47" s="400"/>
      <c r="AE47" s="400"/>
      <c r="AF47" s="400"/>
      <c r="AG47" s="400"/>
      <c r="AH47" s="400"/>
    </row>
    <row r="48" spans="1:35" s="5" customFormat="1" ht="14" customHeight="1">
      <c r="A48" s="3268" t="s">
        <v>786</v>
      </c>
      <c r="B48" s="3269"/>
      <c r="C48" s="3269"/>
      <c r="D48" s="3269"/>
      <c r="E48" s="3269"/>
      <c r="F48" s="3269"/>
      <c r="G48" s="3269"/>
      <c r="H48" s="3269"/>
      <c r="I48" s="3269"/>
      <c r="J48" s="3269"/>
      <c r="K48" s="3269"/>
      <c r="L48" s="3269"/>
      <c r="M48" s="3269"/>
      <c r="N48" s="3269"/>
      <c r="O48" s="3269"/>
      <c r="P48" s="3269"/>
      <c r="Q48" s="3269"/>
      <c r="R48" s="3269"/>
      <c r="S48" s="3280"/>
      <c r="T48" s="3281"/>
      <c r="U48" s="514">
        <f>ROW(T48)</f>
        <v>48</v>
      </c>
      <c r="V48" s="2132"/>
      <c r="W48" s="400"/>
      <c r="X48" s="400"/>
      <c r="Y48" s="400"/>
      <c r="Z48" s="400"/>
      <c r="AA48" s="400"/>
      <c r="AB48" s="400"/>
      <c r="AC48" s="400"/>
      <c r="AD48" s="400"/>
      <c r="AE48" s="400"/>
      <c r="AF48" s="400"/>
      <c r="AG48" s="400"/>
      <c r="AH48" s="400"/>
    </row>
    <row r="49" spans="1:35" s="5" customFormat="1" ht="14" customHeight="1">
      <c r="A49" s="3270"/>
      <c r="B49" s="3271"/>
      <c r="C49" s="3271"/>
      <c r="D49" s="3271"/>
      <c r="E49" s="3271"/>
      <c r="F49" s="3271"/>
      <c r="G49" s="3271"/>
      <c r="H49" s="3271"/>
      <c r="I49" s="3271"/>
      <c r="J49" s="3271"/>
      <c r="K49" s="3271"/>
      <c r="L49" s="3271"/>
      <c r="M49" s="3271"/>
      <c r="N49" s="3271"/>
      <c r="O49" s="3271"/>
      <c r="P49" s="3271"/>
      <c r="Q49" s="3271"/>
      <c r="R49" s="3271"/>
      <c r="S49" s="3282"/>
      <c r="T49" s="3283"/>
      <c r="U49" s="514"/>
      <c r="V49" s="2132"/>
      <c r="W49" s="400"/>
      <c r="X49" s="400"/>
      <c r="Y49" s="400"/>
      <c r="Z49" s="400"/>
      <c r="AA49" s="400"/>
      <c r="AB49" s="400"/>
      <c r="AC49" s="400"/>
      <c r="AD49" s="400"/>
      <c r="AE49" s="400"/>
      <c r="AF49" s="400"/>
      <c r="AG49" s="400"/>
      <c r="AH49" s="400"/>
    </row>
    <row r="50" spans="1:35" s="5" customFormat="1" ht="14" customHeight="1">
      <c r="A50" s="3270"/>
      <c r="B50" s="3271"/>
      <c r="C50" s="3271"/>
      <c r="D50" s="3271"/>
      <c r="E50" s="3271"/>
      <c r="F50" s="3271"/>
      <c r="G50" s="3271"/>
      <c r="H50" s="3271"/>
      <c r="I50" s="3271"/>
      <c r="J50" s="3271"/>
      <c r="K50" s="3271"/>
      <c r="L50" s="3271"/>
      <c r="M50" s="3271"/>
      <c r="N50" s="3271"/>
      <c r="O50" s="3271"/>
      <c r="P50" s="3271"/>
      <c r="Q50" s="3271"/>
      <c r="R50" s="3271"/>
      <c r="S50" s="3282"/>
      <c r="T50" s="3283"/>
      <c r="U50" s="514"/>
      <c r="V50" s="2132"/>
      <c r="W50" s="400"/>
      <c r="X50" s="400"/>
      <c r="Y50" s="400"/>
      <c r="Z50" s="400"/>
      <c r="AA50" s="400"/>
      <c r="AB50" s="400"/>
      <c r="AC50" s="400"/>
      <c r="AD50" s="400"/>
      <c r="AE50" s="400"/>
      <c r="AF50" s="400"/>
      <c r="AG50" s="400"/>
      <c r="AH50" s="400"/>
    </row>
    <row r="51" spans="1:35" s="5" customFormat="1" ht="14" customHeight="1">
      <c r="A51" s="3270"/>
      <c r="B51" s="3271"/>
      <c r="C51" s="3271"/>
      <c r="D51" s="3271"/>
      <c r="E51" s="3271"/>
      <c r="F51" s="3271"/>
      <c r="G51" s="3271"/>
      <c r="H51" s="3271"/>
      <c r="I51" s="3271"/>
      <c r="J51" s="3271"/>
      <c r="K51" s="3271"/>
      <c r="L51" s="3271"/>
      <c r="M51" s="3271"/>
      <c r="N51" s="3271"/>
      <c r="O51" s="3271"/>
      <c r="P51" s="3271"/>
      <c r="Q51" s="3271"/>
      <c r="R51" s="3271"/>
      <c r="S51" s="3282"/>
      <c r="T51" s="3283"/>
      <c r="U51" s="514"/>
      <c r="V51" s="2132"/>
      <c r="W51" s="400"/>
      <c r="X51" s="400"/>
      <c r="Y51" s="400"/>
      <c r="Z51" s="400"/>
      <c r="AA51" s="400"/>
      <c r="AB51" s="400"/>
      <c r="AC51" s="400"/>
      <c r="AD51" s="400"/>
      <c r="AE51" s="400"/>
      <c r="AF51" s="400"/>
      <c r="AG51" s="400"/>
      <c r="AH51" s="400"/>
    </row>
    <row r="52" spans="1:35" s="5" customFormat="1" ht="14" customHeight="1" thickBot="1">
      <c r="A52" s="3270"/>
      <c r="B52" s="3271"/>
      <c r="C52" s="3271"/>
      <c r="D52" s="3271"/>
      <c r="E52" s="3271"/>
      <c r="F52" s="3271"/>
      <c r="G52" s="3271"/>
      <c r="H52" s="3271"/>
      <c r="I52" s="3271"/>
      <c r="J52" s="3271"/>
      <c r="K52" s="3271"/>
      <c r="L52" s="3271"/>
      <c r="M52" s="3271"/>
      <c r="N52" s="3271"/>
      <c r="O52" s="3271"/>
      <c r="P52" s="3271"/>
      <c r="Q52" s="3271"/>
      <c r="R52" s="3271"/>
      <c r="S52" s="3282"/>
      <c r="T52" s="3283"/>
      <c r="U52" s="514">
        <f>ROW(T52)</f>
        <v>52</v>
      </c>
      <c r="V52" s="2132"/>
      <c r="W52" s="400"/>
      <c r="X52" s="400"/>
      <c r="Y52" s="400"/>
      <c r="Z52" s="400"/>
      <c r="AA52" s="400"/>
      <c r="AB52" s="400"/>
      <c r="AC52" s="400"/>
      <c r="AD52" s="400"/>
      <c r="AE52" s="400"/>
      <c r="AF52" s="400"/>
      <c r="AG52" s="400"/>
      <c r="AH52" s="400"/>
    </row>
    <row r="53" spans="1:35" s="5" customFormat="1" ht="14" customHeight="1" thickBot="1">
      <c r="A53" s="3364" t="s">
        <v>819</v>
      </c>
      <c r="B53" s="3365"/>
      <c r="C53" s="3365"/>
      <c r="D53" s="3365"/>
      <c r="E53" s="3365"/>
      <c r="F53" s="3365"/>
      <c r="G53" s="3365"/>
      <c r="H53" s="3365"/>
      <c r="I53" s="3365"/>
      <c r="J53" s="3365"/>
      <c r="K53" s="3365"/>
      <c r="L53" s="3365"/>
      <c r="M53" s="3365"/>
      <c r="N53" s="3365"/>
      <c r="O53" s="3365"/>
      <c r="P53" s="3365"/>
      <c r="Q53" s="3365"/>
      <c r="R53" s="3365"/>
      <c r="S53" s="3362">
        <f>SUM(S48:S52)</f>
        <v>0</v>
      </c>
      <c r="T53" s="3363"/>
      <c r="U53" s="514"/>
      <c r="V53" s="2132"/>
      <c r="W53" s="400"/>
      <c r="X53" s="400"/>
      <c r="Y53" s="400"/>
      <c r="Z53" s="400"/>
      <c r="AA53" s="400"/>
      <c r="AB53" s="400"/>
      <c r="AC53" s="400"/>
      <c r="AD53" s="400"/>
      <c r="AE53" s="400"/>
      <c r="AF53" s="400"/>
      <c r="AG53" s="400"/>
      <c r="AH53" s="400"/>
    </row>
    <row r="54" spans="1:35" s="5" customFormat="1" ht="16.5" customHeight="1" thickBot="1">
      <c r="A54" s="1756"/>
      <c r="B54" s="902"/>
      <c r="C54" s="902"/>
      <c r="D54" s="902"/>
      <c r="E54" s="902"/>
      <c r="F54" s="902"/>
      <c r="G54" s="902"/>
      <c r="H54" s="902"/>
      <c r="I54" s="902"/>
      <c r="J54" s="902"/>
      <c r="K54" s="902"/>
      <c r="L54" s="902"/>
      <c r="M54" s="902"/>
      <c r="N54" s="902"/>
      <c r="O54" s="902"/>
      <c r="P54" s="902"/>
      <c r="Q54" s="902"/>
      <c r="R54" s="903"/>
      <c r="S54" s="903"/>
      <c r="T54" s="904"/>
      <c r="U54" s="2125"/>
      <c r="V54" s="2133"/>
      <c r="W54" s="400"/>
      <c r="X54" s="400"/>
      <c r="Y54" s="400"/>
      <c r="Z54" s="400"/>
      <c r="AA54" s="400"/>
      <c r="AB54" s="400"/>
      <c r="AC54" s="400"/>
      <c r="AD54" s="400"/>
      <c r="AE54" s="400"/>
      <c r="AF54" s="400"/>
      <c r="AG54" s="400"/>
      <c r="AH54" s="400"/>
      <c r="AI54" s="400"/>
    </row>
    <row r="55" spans="1:35" ht="38" customHeight="1" thickBot="1">
      <c r="A55" s="3351"/>
      <c r="B55" s="3352"/>
      <c r="C55" s="3352"/>
      <c r="D55" s="3352"/>
      <c r="E55" s="3352"/>
      <c r="F55" s="3352"/>
      <c r="G55" s="3352"/>
      <c r="H55" s="3352"/>
      <c r="I55" s="3352"/>
      <c r="J55" s="3352"/>
      <c r="K55" s="3352"/>
      <c r="L55" s="3352"/>
      <c r="M55" s="3352"/>
      <c r="N55" s="3352"/>
      <c r="O55" s="3352"/>
      <c r="P55" s="3352"/>
      <c r="Q55" s="3352"/>
      <c r="R55" s="3352"/>
      <c r="S55" s="3352"/>
      <c r="T55" s="3353"/>
      <c r="U55" s="2126"/>
      <c r="V55" s="2134"/>
      <c r="W55" s="369"/>
      <c r="X55" s="369"/>
      <c r="Y55" s="369"/>
      <c r="Z55" s="369"/>
      <c r="AA55" s="369"/>
      <c r="AB55" s="369"/>
      <c r="AC55" s="369"/>
      <c r="AD55" s="369"/>
      <c r="AE55" s="369"/>
      <c r="AF55" s="369"/>
      <c r="AG55" s="369"/>
      <c r="AH55" s="369"/>
      <c r="AI55" s="369"/>
    </row>
    <row r="56" spans="1:35" s="5" customFormat="1" ht="34" customHeight="1">
      <c r="A56" s="3354" t="s">
        <v>802</v>
      </c>
      <c r="B56" s="3355"/>
      <c r="C56" s="3355"/>
      <c r="D56" s="3355"/>
      <c r="E56" s="1728"/>
      <c r="F56" s="3356" t="s">
        <v>803</v>
      </c>
      <c r="G56" s="3356"/>
      <c r="H56" s="3356"/>
      <c r="I56" s="3356"/>
      <c r="J56" s="3356"/>
      <c r="K56" s="3356"/>
      <c r="L56" s="3356"/>
      <c r="M56" s="3356"/>
      <c r="N56" s="3356"/>
      <c r="O56" s="3356"/>
      <c r="P56" s="3356"/>
      <c r="Q56" s="3356"/>
      <c r="R56" s="3356"/>
      <c r="S56" s="3356"/>
      <c r="T56" s="1729"/>
      <c r="U56" s="514"/>
      <c r="V56" s="2132"/>
      <c r="W56" s="400"/>
      <c r="X56" s="400"/>
      <c r="Y56" s="400"/>
      <c r="Z56" s="400"/>
      <c r="AA56" s="400"/>
      <c r="AB56" s="400"/>
      <c r="AC56" s="400"/>
      <c r="AD56" s="400"/>
      <c r="AE56" s="400"/>
      <c r="AF56" s="400"/>
      <c r="AG56" s="400"/>
      <c r="AH56" s="400"/>
      <c r="AI56" s="400"/>
    </row>
    <row r="57" spans="1:35" s="5" customFormat="1" ht="34" customHeight="1" thickBot="1">
      <c r="A57" s="3357" t="s">
        <v>804</v>
      </c>
      <c r="B57" s="3358"/>
      <c r="C57" s="3358"/>
      <c r="D57" s="3358"/>
      <c r="E57" s="1730"/>
      <c r="F57" s="3359" t="s">
        <v>805</v>
      </c>
      <c r="G57" s="3359"/>
      <c r="H57" s="3359"/>
      <c r="I57" s="3359"/>
      <c r="J57" s="3359"/>
      <c r="K57" s="3359"/>
      <c r="L57" s="3359"/>
      <c r="M57" s="3359"/>
      <c r="N57" s="3359"/>
      <c r="O57" s="3359"/>
      <c r="P57" s="3359"/>
      <c r="Q57" s="3359"/>
      <c r="R57" s="3359"/>
      <c r="S57" s="3359"/>
      <c r="T57" s="1731"/>
      <c r="U57" s="514"/>
      <c r="V57" s="2132"/>
      <c r="W57" s="400"/>
      <c r="X57" s="400"/>
      <c r="Y57" s="400"/>
      <c r="Z57" s="400"/>
      <c r="AA57" s="400"/>
      <c r="AB57" s="400"/>
      <c r="AC57" s="400"/>
      <c r="AD57" s="400"/>
      <c r="AE57" s="400"/>
      <c r="AF57" s="400"/>
      <c r="AG57" s="400"/>
      <c r="AH57" s="400"/>
      <c r="AI57" s="400"/>
    </row>
    <row r="58" spans="1:35" s="5" customFormat="1" ht="34" customHeight="1" thickBot="1">
      <c r="A58" s="3261" t="str">
        <f>"Vuggestueindtægter januar - december " &amp; budgetår</f>
        <v>Vuggestueindtægter januar - december 2026</v>
      </c>
      <c r="B58" s="3262"/>
      <c r="C58" s="3262"/>
      <c r="D58" s="3262"/>
      <c r="E58" s="3262"/>
      <c r="F58" s="3262"/>
      <c r="G58" s="3262"/>
      <c r="H58" s="3262"/>
      <c r="I58" s="3262"/>
      <c r="J58" s="3262"/>
      <c r="K58" s="3262"/>
      <c r="L58" s="3262"/>
      <c r="M58" s="3262"/>
      <c r="N58" s="3262"/>
      <c r="O58" s="3262"/>
      <c r="P58" s="3262"/>
      <c r="Q58" s="3262"/>
      <c r="R58" s="3262"/>
      <c r="S58" s="3262"/>
      <c r="T58" s="3263"/>
      <c r="U58" s="514"/>
      <c r="V58" s="2132"/>
      <c r="W58" s="400"/>
      <c r="X58" s="400"/>
      <c r="Y58" s="400"/>
      <c r="Z58" s="400"/>
      <c r="AA58" s="400"/>
      <c r="AB58" s="400"/>
      <c r="AC58" s="400"/>
      <c r="AD58" s="400"/>
      <c r="AE58" s="400"/>
      <c r="AF58" s="400"/>
      <c r="AG58" s="400"/>
      <c r="AH58" s="400"/>
      <c r="AI58" s="400"/>
    </row>
    <row r="59" spans="1:35" s="21" customFormat="1" ht="25" customHeight="1" thickBot="1">
      <c r="A59" s="700"/>
      <c r="B59" s="1732" t="s">
        <v>767</v>
      </c>
      <c r="C59" s="3258" t="s">
        <v>768</v>
      </c>
      <c r="D59" s="3259"/>
      <c r="E59" s="3260"/>
      <c r="F59" s="3249" t="s">
        <v>806</v>
      </c>
      <c r="G59" s="3250"/>
      <c r="H59" s="3250"/>
      <c r="I59" s="3250"/>
      <c r="J59" s="3250"/>
      <c r="K59" s="3250"/>
      <c r="L59" s="3250"/>
      <c r="M59" s="3250"/>
      <c r="N59" s="3250"/>
      <c r="O59" s="3250"/>
      <c r="P59" s="3250"/>
      <c r="Q59" s="3250"/>
      <c r="R59" s="3251"/>
      <c r="S59" s="3249" t="s">
        <v>770</v>
      </c>
      <c r="T59" s="3251"/>
      <c r="U59" s="2122"/>
      <c r="V59" s="2130"/>
      <c r="W59" s="398"/>
      <c r="X59" s="398"/>
      <c r="Y59" s="398"/>
      <c r="Z59" s="398"/>
      <c r="AA59" s="398"/>
      <c r="AB59" s="398"/>
      <c r="AC59" s="398"/>
      <c r="AD59" s="398"/>
      <c r="AE59" s="398"/>
      <c r="AF59" s="398"/>
      <c r="AG59" s="398"/>
      <c r="AH59" s="398"/>
      <c r="AI59" s="809"/>
    </row>
    <row r="60" spans="1:35" s="21" customFormat="1" ht="25" customHeight="1" thickBot="1">
      <c r="A60" s="700"/>
      <c r="B60" s="1733" t="s">
        <v>342</v>
      </c>
      <c r="C60" s="3247" t="s">
        <v>342</v>
      </c>
      <c r="D60" s="3247"/>
      <c r="E60" s="3247"/>
      <c r="F60" s="3252"/>
      <c r="G60" s="3253"/>
      <c r="H60" s="3253"/>
      <c r="I60" s="3253"/>
      <c r="J60" s="3253"/>
      <c r="K60" s="3253"/>
      <c r="L60" s="3253"/>
      <c r="M60" s="3253"/>
      <c r="N60" s="3253"/>
      <c r="O60" s="3253"/>
      <c r="P60" s="3253"/>
      <c r="Q60" s="3253"/>
      <c r="R60" s="3254"/>
      <c r="S60" s="3252"/>
      <c r="T60" s="3254"/>
      <c r="U60" s="2122"/>
      <c r="V60" s="2130"/>
      <c r="W60" s="398"/>
      <c r="X60" s="398"/>
      <c r="Y60" s="398"/>
      <c r="Z60" s="398"/>
      <c r="AA60" s="398"/>
      <c r="AB60" s="398"/>
      <c r="AC60" s="398"/>
      <c r="AD60" s="398"/>
      <c r="AE60" s="398"/>
      <c r="AF60" s="398"/>
      <c r="AG60" s="398"/>
      <c r="AH60" s="398"/>
      <c r="AI60" s="809"/>
    </row>
    <row r="61" spans="1:35" s="21" customFormat="1" ht="25" customHeight="1" thickBot="1">
      <c r="A61" s="700"/>
      <c r="B61" s="1734"/>
      <c r="C61" s="3248"/>
      <c r="D61" s="3248"/>
      <c r="E61" s="3248"/>
      <c r="F61" s="3255"/>
      <c r="G61" s="3256"/>
      <c r="H61" s="3256"/>
      <c r="I61" s="3256"/>
      <c r="J61" s="3256"/>
      <c r="K61" s="3256"/>
      <c r="L61" s="3256"/>
      <c r="M61" s="3256"/>
      <c r="N61" s="3256"/>
      <c r="O61" s="3256"/>
      <c r="P61" s="3256"/>
      <c r="Q61" s="3256"/>
      <c r="R61" s="3257"/>
      <c r="S61" s="3255"/>
      <c r="T61" s="3257"/>
      <c r="U61" s="2122"/>
      <c r="V61" s="2130"/>
      <c r="W61" s="398"/>
      <c r="X61" s="398"/>
      <c r="Y61" s="398"/>
      <c r="Z61" s="398"/>
      <c r="AA61" s="398"/>
      <c r="AB61" s="398"/>
      <c r="AC61" s="398"/>
      <c r="AD61" s="398"/>
      <c r="AE61" s="398"/>
      <c r="AF61" s="398"/>
      <c r="AG61" s="398"/>
      <c r="AH61" s="398"/>
      <c r="AI61" s="809"/>
    </row>
    <row r="62" spans="1:35" s="22" customFormat="1" ht="63" customHeight="1" thickBot="1">
      <c r="A62" s="2104" t="s">
        <v>771</v>
      </c>
      <c r="B62" s="2105" t="s">
        <v>820</v>
      </c>
      <c r="C62" s="2105" t="s">
        <v>808</v>
      </c>
      <c r="D62" s="1736" t="s">
        <v>809</v>
      </c>
      <c r="E62" s="1737" t="s">
        <v>810</v>
      </c>
      <c r="F62" s="2104" t="s">
        <v>773</v>
      </c>
      <c r="G62" s="1757" t="s">
        <v>774</v>
      </c>
      <c r="H62" s="1757" t="s">
        <v>775</v>
      </c>
      <c r="I62" s="1757" t="s">
        <v>776</v>
      </c>
      <c r="J62" s="1757" t="s">
        <v>777</v>
      </c>
      <c r="K62" s="1757" t="s">
        <v>778</v>
      </c>
      <c r="L62" s="1757" t="s">
        <v>779</v>
      </c>
      <c r="M62" s="1757" t="s">
        <v>780</v>
      </c>
      <c r="N62" s="1757" t="s">
        <v>811</v>
      </c>
      <c r="O62" s="1757" t="s">
        <v>812</v>
      </c>
      <c r="P62" s="1757" t="s">
        <v>813</v>
      </c>
      <c r="Q62" s="1757" t="s">
        <v>814</v>
      </c>
      <c r="R62" s="1737" t="s">
        <v>815</v>
      </c>
      <c r="S62" s="2105" t="s">
        <v>781</v>
      </c>
      <c r="T62" s="1737" t="s">
        <v>782</v>
      </c>
      <c r="U62" s="2123"/>
      <c r="V62" s="2131"/>
      <c r="W62" s="399"/>
      <c r="X62" s="399"/>
      <c r="Y62" s="399"/>
      <c r="Z62" s="399"/>
      <c r="AA62" s="399"/>
      <c r="AB62" s="399"/>
      <c r="AC62" s="399"/>
      <c r="AD62" s="399"/>
      <c r="AE62" s="399"/>
      <c r="AF62" s="399"/>
      <c r="AG62" s="399"/>
      <c r="AH62" s="399"/>
      <c r="AI62" s="399"/>
    </row>
    <row r="63" spans="1:35" s="22" customFormat="1" ht="20" customHeight="1" thickBot="1">
      <c r="A63" s="3426" t="str">
        <f>A10</f>
        <v>Indmeldt til og med 25,0 timer pr. uge (vægtes med 0,5)</v>
      </c>
      <c r="B63" s="3427"/>
      <c r="C63" s="3427"/>
      <c r="D63" s="3427"/>
      <c r="E63" s="3427"/>
      <c r="F63" s="3427"/>
      <c r="G63" s="3427"/>
      <c r="H63" s="3427"/>
      <c r="I63" s="3427"/>
      <c r="J63" s="3427"/>
      <c r="K63" s="3427"/>
      <c r="L63" s="3427"/>
      <c r="M63" s="3427"/>
      <c r="N63" s="3427"/>
      <c r="O63" s="3427"/>
      <c r="P63" s="3427"/>
      <c r="Q63" s="3427"/>
      <c r="R63" s="3427"/>
      <c r="S63" s="3427"/>
      <c r="T63" s="3428"/>
      <c r="U63" s="2123"/>
      <c r="V63" s="2131"/>
      <c r="W63" s="399"/>
      <c r="X63" s="399"/>
      <c r="Y63" s="399"/>
      <c r="Z63" s="399"/>
      <c r="AA63" s="399"/>
      <c r="AB63" s="399"/>
      <c r="AC63" s="399"/>
      <c r="AD63" s="399"/>
      <c r="AE63" s="399"/>
      <c r="AF63" s="399"/>
      <c r="AG63" s="399"/>
      <c r="AH63" s="399"/>
      <c r="AI63" s="399"/>
    </row>
    <row r="64" spans="1:35" s="5" customFormat="1" ht="14" customHeight="1">
      <c r="A64" s="511" t="s">
        <v>358</v>
      </c>
      <c r="B64" s="1749"/>
      <c r="C64" s="1705"/>
      <c r="D64" s="2106"/>
      <c r="E64" s="2107"/>
      <c r="F64" s="1705"/>
      <c r="G64" s="2108"/>
      <c r="H64" s="2108"/>
      <c r="I64" s="2108"/>
      <c r="J64" s="2108"/>
      <c r="K64" s="2108"/>
      <c r="L64" s="2108"/>
      <c r="M64" s="2108"/>
      <c r="N64" s="2108"/>
      <c r="O64" s="2108"/>
      <c r="P64" s="2108"/>
      <c r="Q64" s="2108"/>
      <c r="R64" s="2109"/>
      <c r="S64" s="2110">
        <f t="shared" ref="S64:S71" si="3">SUM(F64:R64)*B64-(M64*B64)</f>
        <v>0</v>
      </c>
      <c r="T64" s="2111" cm="1">
        <f t="array" ref="T64">SUM(F64:R64)*SUM(C64:E64)-SUM(C64:E64*L64)</f>
        <v>0</v>
      </c>
      <c r="U64" s="514">
        <f>SUM(F64:R71)</f>
        <v>0</v>
      </c>
      <c r="V64" s="2132"/>
      <c r="W64" s="400"/>
      <c r="X64" s="400"/>
      <c r="Y64" s="400"/>
      <c r="Z64" s="400"/>
      <c r="AA64" s="400"/>
      <c r="AB64" s="400"/>
      <c r="AC64" s="400"/>
      <c r="AD64" s="400"/>
      <c r="AE64" s="400"/>
      <c r="AF64" s="400"/>
      <c r="AG64" s="400"/>
      <c r="AH64" s="400"/>
      <c r="AI64" s="400"/>
    </row>
    <row r="65" spans="1:35" s="5" customFormat="1" ht="14" customHeight="1">
      <c r="A65" s="821" t="s">
        <v>359</v>
      </c>
      <c r="B65" s="1749"/>
      <c r="C65" s="1705"/>
      <c r="D65" s="1743"/>
      <c r="E65" s="1744"/>
      <c r="F65" s="1742"/>
      <c r="G65" s="1745"/>
      <c r="H65" s="1745"/>
      <c r="I65" s="1745"/>
      <c r="J65" s="1745"/>
      <c r="K65" s="1745"/>
      <c r="L65" s="1745"/>
      <c r="M65" s="1745"/>
      <c r="N65" s="1745"/>
      <c r="O65" s="1745"/>
      <c r="P65" s="1745"/>
      <c r="Q65" s="1745"/>
      <c r="R65" s="1746"/>
      <c r="S65" s="1747">
        <f t="shared" si="3"/>
        <v>0</v>
      </c>
      <c r="T65" s="1748" cm="1">
        <f t="array" ref="T65">SUM(F65:R65)*SUM(C65:E65)-SUM(C65:E65*L65)</f>
        <v>0</v>
      </c>
      <c r="U65" s="514">
        <f>SUM(L64:L71)</f>
        <v>0</v>
      </c>
      <c r="V65" s="2132"/>
      <c r="W65" s="400"/>
      <c r="X65" s="400"/>
      <c r="Y65" s="400"/>
      <c r="Z65" s="400"/>
      <c r="AA65" s="400"/>
      <c r="AB65" s="400"/>
      <c r="AC65" s="400"/>
      <c r="AD65" s="400"/>
      <c r="AE65" s="400"/>
      <c r="AF65" s="400"/>
      <c r="AG65" s="400"/>
      <c r="AH65" s="400"/>
      <c r="AI65" s="400"/>
    </row>
    <row r="66" spans="1:35" s="5" customFormat="1" ht="14" customHeight="1">
      <c r="A66" s="821" t="s">
        <v>360</v>
      </c>
      <c r="B66" s="1741"/>
      <c r="C66" s="1742"/>
      <c r="D66" s="1743"/>
      <c r="E66" s="1744"/>
      <c r="F66" s="1742"/>
      <c r="G66" s="1745"/>
      <c r="H66" s="1745"/>
      <c r="I66" s="1745"/>
      <c r="J66" s="1745"/>
      <c r="K66" s="1745"/>
      <c r="L66" s="1745"/>
      <c r="M66" s="1745"/>
      <c r="N66" s="1745"/>
      <c r="O66" s="1745"/>
      <c r="P66" s="1745"/>
      <c r="Q66" s="1745"/>
      <c r="R66" s="1746"/>
      <c r="S66" s="1747">
        <f t="shared" si="3"/>
        <v>0</v>
      </c>
      <c r="T66" s="1748" cm="1">
        <f t="array" ref="T66">SUM(F66:R66)*SUM(C66:E66)-SUM(C66:E66*L66)</f>
        <v>0</v>
      </c>
      <c r="U66" s="514">
        <f>U64-U65</f>
        <v>0</v>
      </c>
      <c r="V66" s="2132"/>
      <c r="W66" s="400"/>
      <c r="X66" s="400"/>
      <c r="Y66" s="400"/>
      <c r="Z66" s="400"/>
      <c r="AA66" s="400"/>
      <c r="AB66" s="400"/>
      <c r="AC66" s="400"/>
      <c r="AD66" s="400"/>
      <c r="AE66" s="400"/>
      <c r="AF66" s="400"/>
      <c r="AG66" s="400"/>
      <c r="AH66" s="400"/>
      <c r="AI66" s="400"/>
    </row>
    <row r="67" spans="1:35" s="5" customFormat="1" ht="14" customHeight="1">
      <c r="A67" s="821" t="s">
        <v>361</v>
      </c>
      <c r="B67" s="1749"/>
      <c r="C67" s="1705"/>
      <c r="D67" s="1743"/>
      <c r="E67" s="1744"/>
      <c r="F67" s="1742"/>
      <c r="G67" s="1745"/>
      <c r="H67" s="1745"/>
      <c r="I67" s="1745"/>
      <c r="J67" s="1745"/>
      <c r="K67" s="1745"/>
      <c r="L67" s="1745"/>
      <c r="M67" s="1745"/>
      <c r="N67" s="1745"/>
      <c r="O67" s="1745"/>
      <c r="P67" s="1745"/>
      <c r="Q67" s="1745"/>
      <c r="R67" s="1746"/>
      <c r="S67" s="1747">
        <f t="shared" si="3"/>
        <v>0</v>
      </c>
      <c r="T67" s="1748" cm="1">
        <f t="array" ref="T67">SUM(F67:R67)*SUM(C67:E67)-SUM(C67:E67*L67)</f>
        <v>0</v>
      </c>
      <c r="U67" s="2124">
        <f>IF($T$56&gt;0,U66/$T$56,0)</f>
        <v>0</v>
      </c>
      <c r="V67" s="2132">
        <f>U67*0.5</f>
        <v>0</v>
      </c>
      <c r="W67" s="400"/>
      <c r="X67" s="400"/>
      <c r="Y67" s="400"/>
      <c r="Z67" s="400"/>
      <c r="AA67" s="400"/>
      <c r="AB67" s="400"/>
      <c r="AC67" s="400"/>
      <c r="AD67" s="400"/>
      <c r="AE67" s="400"/>
      <c r="AF67" s="400"/>
      <c r="AG67" s="400"/>
      <c r="AH67" s="400"/>
      <c r="AI67" s="400"/>
    </row>
    <row r="68" spans="1:35" s="5" customFormat="1" ht="14" customHeight="1">
      <c r="A68" s="821" t="s">
        <v>362</v>
      </c>
      <c r="B68" s="1749"/>
      <c r="C68" s="1705"/>
      <c r="D68" s="1743"/>
      <c r="E68" s="1744"/>
      <c r="F68" s="1742"/>
      <c r="G68" s="1745"/>
      <c r="H68" s="1745"/>
      <c r="I68" s="1745"/>
      <c r="J68" s="1745"/>
      <c r="K68" s="1745"/>
      <c r="L68" s="1745"/>
      <c r="M68" s="1745"/>
      <c r="N68" s="1745"/>
      <c r="O68" s="1745"/>
      <c r="P68" s="1745"/>
      <c r="Q68" s="1745"/>
      <c r="R68" s="1746"/>
      <c r="S68" s="1747">
        <f t="shared" si="3"/>
        <v>0</v>
      </c>
      <c r="T68" s="1748" cm="1">
        <f t="array" ref="T68">SUM(F68:R68)*SUM(C68:E68)-SUM(C68:E68*L68)</f>
        <v>0</v>
      </c>
      <c r="U68" s="2124"/>
      <c r="V68" s="2132"/>
      <c r="W68" s="400"/>
      <c r="X68" s="400"/>
      <c r="Y68" s="400"/>
      <c r="Z68" s="400"/>
      <c r="AA68" s="400"/>
      <c r="AB68" s="400"/>
      <c r="AC68" s="400"/>
      <c r="AD68" s="400"/>
      <c r="AE68" s="400"/>
      <c r="AF68" s="400"/>
      <c r="AG68" s="400"/>
      <c r="AH68" s="400"/>
      <c r="AI68" s="400"/>
    </row>
    <row r="69" spans="1:35" s="5" customFormat="1" ht="14" customHeight="1">
      <c r="A69" s="821" t="s">
        <v>363</v>
      </c>
      <c r="B69" s="1749"/>
      <c r="C69" s="1705"/>
      <c r="D69" s="1743"/>
      <c r="E69" s="1744"/>
      <c r="F69" s="1742"/>
      <c r="G69" s="1745"/>
      <c r="H69" s="1745"/>
      <c r="I69" s="1745"/>
      <c r="J69" s="1745"/>
      <c r="K69" s="1745"/>
      <c r="L69" s="1745"/>
      <c r="M69" s="1745"/>
      <c r="N69" s="1745"/>
      <c r="O69" s="1745"/>
      <c r="P69" s="1745"/>
      <c r="Q69" s="1745"/>
      <c r="R69" s="1746"/>
      <c r="S69" s="1747">
        <f t="shared" si="3"/>
        <v>0</v>
      </c>
      <c r="T69" s="1748" cm="1">
        <f t="array" ref="T69">SUM(F69:R69)*SUM(C69:E69)-SUM(C69:E69*L69)</f>
        <v>0</v>
      </c>
      <c r="U69" s="2124"/>
      <c r="V69" s="2132"/>
      <c r="W69" s="400"/>
      <c r="X69" s="400"/>
      <c r="Y69" s="400"/>
      <c r="Z69" s="400"/>
      <c r="AA69" s="400"/>
      <c r="AB69" s="400"/>
      <c r="AC69" s="400"/>
      <c r="AD69" s="400"/>
      <c r="AE69" s="400"/>
      <c r="AF69" s="400"/>
      <c r="AG69" s="400"/>
      <c r="AH69" s="400"/>
      <c r="AI69" s="400"/>
    </row>
    <row r="70" spans="1:35" s="5" customFormat="1" ht="14" customHeight="1">
      <c r="A70" s="821" t="s">
        <v>364</v>
      </c>
      <c r="B70" s="1749"/>
      <c r="C70" s="1705"/>
      <c r="D70" s="1743"/>
      <c r="E70" s="1744"/>
      <c r="F70" s="1742"/>
      <c r="G70" s="1745"/>
      <c r="H70" s="1745"/>
      <c r="I70" s="1745"/>
      <c r="J70" s="1745"/>
      <c r="K70" s="1745"/>
      <c r="L70" s="1745"/>
      <c r="M70" s="1745"/>
      <c r="N70" s="1745"/>
      <c r="O70" s="1745"/>
      <c r="P70" s="1745"/>
      <c r="Q70" s="1745"/>
      <c r="R70" s="1746"/>
      <c r="S70" s="1747">
        <f t="shared" si="3"/>
        <v>0</v>
      </c>
      <c r="T70" s="1748" cm="1">
        <f t="array" ref="T70">SUM(F70:R70)*SUM(C70:E70)-SUM(C70:E70*L70)</f>
        <v>0</v>
      </c>
      <c r="U70" s="2124"/>
      <c r="V70" s="2132"/>
      <c r="W70" s="400"/>
      <c r="X70" s="400"/>
      <c r="Y70" s="400"/>
      <c r="Z70" s="400"/>
      <c r="AA70" s="400"/>
      <c r="AB70" s="400"/>
      <c r="AC70" s="400"/>
      <c r="AD70" s="400"/>
      <c r="AE70" s="400"/>
      <c r="AF70" s="400"/>
      <c r="AG70" s="400"/>
      <c r="AH70" s="400"/>
      <c r="AI70" s="400"/>
    </row>
    <row r="71" spans="1:35" s="5" customFormat="1" ht="14" customHeight="1" thickBot="1">
      <c r="A71" s="821" t="s">
        <v>365</v>
      </c>
      <c r="B71" s="1749"/>
      <c r="C71" s="1705"/>
      <c r="D71" s="1743"/>
      <c r="E71" s="1744"/>
      <c r="F71" s="1742"/>
      <c r="G71" s="1745"/>
      <c r="H71" s="1745"/>
      <c r="I71" s="1745"/>
      <c r="J71" s="1745"/>
      <c r="K71" s="1745"/>
      <c r="L71" s="1745"/>
      <c r="M71" s="1745"/>
      <c r="N71" s="1745"/>
      <c r="O71" s="1745"/>
      <c r="P71" s="1745"/>
      <c r="Q71" s="1745"/>
      <c r="R71" s="1746"/>
      <c r="S71" s="1747">
        <f t="shared" si="3"/>
        <v>0</v>
      </c>
      <c r="T71" s="1748" cm="1">
        <f t="array" ref="T71">SUM(F71:R71)*SUM(C71:E71)-SUM(C71:E71*L71)</f>
        <v>0</v>
      </c>
      <c r="U71" s="2124"/>
      <c r="V71" s="2132"/>
      <c r="W71" s="400"/>
      <c r="X71" s="400"/>
      <c r="Y71" s="400"/>
      <c r="Z71" s="400"/>
      <c r="AA71" s="400"/>
      <c r="AB71" s="400"/>
      <c r="AC71" s="400"/>
      <c r="AD71" s="400"/>
      <c r="AE71" s="400"/>
      <c r="AF71" s="400"/>
      <c r="AG71" s="400"/>
      <c r="AH71" s="400"/>
      <c r="AI71" s="400"/>
    </row>
    <row r="72" spans="1:35" s="22" customFormat="1" ht="20" customHeight="1" thickBot="1">
      <c r="A72" s="3426" t="str">
        <f>A19</f>
        <v>Indmeldt over 25,0 timer og op til og med 35,0 timer pr. uge (vægtes med 0,75)</v>
      </c>
      <c r="B72" s="3427"/>
      <c r="C72" s="3427"/>
      <c r="D72" s="3427"/>
      <c r="E72" s="3427"/>
      <c r="F72" s="3427"/>
      <c r="G72" s="3427"/>
      <c r="H72" s="3427"/>
      <c r="I72" s="3427"/>
      <c r="J72" s="3427"/>
      <c r="K72" s="3427"/>
      <c r="L72" s="3427"/>
      <c r="M72" s="3427"/>
      <c r="N72" s="3427"/>
      <c r="O72" s="3427"/>
      <c r="P72" s="3427"/>
      <c r="Q72" s="3427"/>
      <c r="R72" s="3427"/>
      <c r="S72" s="3427"/>
      <c r="T72" s="3428"/>
      <c r="U72" s="2123"/>
      <c r="V72" s="2131"/>
      <c r="W72" s="399"/>
      <c r="X72" s="399"/>
      <c r="Y72" s="399"/>
      <c r="Z72" s="399"/>
      <c r="AA72" s="399"/>
      <c r="AB72" s="399"/>
      <c r="AC72" s="399"/>
      <c r="AD72" s="399"/>
      <c r="AE72" s="399"/>
      <c r="AF72" s="399"/>
      <c r="AG72" s="399"/>
      <c r="AH72" s="399"/>
      <c r="AI72" s="399"/>
    </row>
    <row r="73" spans="1:35" s="5" customFormat="1" ht="14" customHeight="1">
      <c r="A73" s="821" t="s">
        <v>358</v>
      </c>
      <c r="B73" s="1749"/>
      <c r="C73" s="1705"/>
      <c r="D73" s="1743"/>
      <c r="E73" s="1744"/>
      <c r="F73" s="1742"/>
      <c r="G73" s="1745"/>
      <c r="H73" s="1745"/>
      <c r="I73" s="1745"/>
      <c r="J73" s="1745"/>
      <c r="K73" s="1745"/>
      <c r="L73" s="1745"/>
      <c r="M73" s="1745"/>
      <c r="N73" s="1745"/>
      <c r="O73" s="1745"/>
      <c r="P73" s="1745"/>
      <c r="Q73" s="1745"/>
      <c r="R73" s="1746"/>
      <c r="S73" s="1747">
        <f t="shared" ref="S73:S80" si="4">SUM(F73:R73)*B73-(M73*B73)</f>
        <v>0</v>
      </c>
      <c r="T73" s="1748" cm="1">
        <f t="array" ref="T73">SUM(F73:R73)*SUM(C73:E73)-SUM(C73:E73*L73)</f>
        <v>0</v>
      </c>
      <c r="U73" s="514">
        <f>SUM(F73:R80)</f>
        <v>0</v>
      </c>
      <c r="V73" s="2132"/>
      <c r="W73" s="400"/>
      <c r="X73" s="400"/>
      <c r="Y73" s="400"/>
      <c r="Z73" s="400"/>
      <c r="AA73" s="400"/>
      <c r="AB73" s="400"/>
      <c r="AC73" s="400"/>
      <c r="AD73" s="400"/>
      <c r="AE73" s="400"/>
      <c r="AF73" s="400"/>
      <c r="AG73" s="400"/>
      <c r="AH73" s="400"/>
      <c r="AI73" s="400"/>
    </row>
    <row r="74" spans="1:35" s="5" customFormat="1" ht="14" customHeight="1">
      <c r="A74" s="821" t="s">
        <v>359</v>
      </c>
      <c r="B74" s="1749"/>
      <c r="C74" s="1705"/>
      <c r="D74" s="1743"/>
      <c r="E74" s="1744"/>
      <c r="F74" s="1742"/>
      <c r="G74" s="1745"/>
      <c r="H74" s="1745"/>
      <c r="I74" s="1745"/>
      <c r="J74" s="1745"/>
      <c r="K74" s="1745"/>
      <c r="L74" s="1745"/>
      <c r="M74" s="1745"/>
      <c r="N74" s="1745"/>
      <c r="O74" s="1745"/>
      <c r="P74" s="1745"/>
      <c r="Q74" s="1745"/>
      <c r="R74" s="1746"/>
      <c r="S74" s="1747">
        <f t="shared" si="4"/>
        <v>0</v>
      </c>
      <c r="T74" s="1748" cm="1">
        <f t="array" ref="T74">SUM(F74:R74)*SUM(C74:E74)-SUM(C74:E74*L74)</f>
        <v>0</v>
      </c>
      <c r="U74" s="514">
        <f>SUM(L73:L80)</f>
        <v>0</v>
      </c>
      <c r="V74" s="2132"/>
      <c r="W74" s="400"/>
      <c r="X74" s="400"/>
      <c r="Y74" s="400"/>
      <c r="Z74" s="400"/>
      <c r="AA74" s="400"/>
      <c r="AB74" s="400"/>
      <c r="AC74" s="400"/>
      <c r="AD74" s="400"/>
      <c r="AE74" s="400"/>
      <c r="AF74" s="400"/>
      <c r="AG74" s="400"/>
      <c r="AH74" s="400"/>
      <c r="AI74" s="400"/>
    </row>
    <row r="75" spans="1:35" s="5" customFormat="1" ht="14" customHeight="1">
      <c r="A75" s="821" t="s">
        <v>360</v>
      </c>
      <c r="B75" s="1749"/>
      <c r="C75" s="1705"/>
      <c r="D75" s="1743"/>
      <c r="E75" s="1744"/>
      <c r="F75" s="1742"/>
      <c r="G75" s="1745"/>
      <c r="H75" s="1745"/>
      <c r="I75" s="1745"/>
      <c r="J75" s="1745"/>
      <c r="K75" s="1745"/>
      <c r="L75" s="1745"/>
      <c r="M75" s="1745"/>
      <c r="N75" s="1745"/>
      <c r="O75" s="1745"/>
      <c r="P75" s="1745"/>
      <c r="Q75" s="1745"/>
      <c r="R75" s="1746"/>
      <c r="S75" s="1747">
        <f t="shared" si="4"/>
        <v>0</v>
      </c>
      <c r="T75" s="1748" cm="1">
        <f t="array" ref="T75">SUM(F75:R75)*SUM(C75:E75)-SUM(C75:E75*L75)</f>
        <v>0</v>
      </c>
      <c r="U75" s="514">
        <f>U73-U74</f>
        <v>0</v>
      </c>
      <c r="V75" s="2132"/>
      <c r="W75" s="400"/>
      <c r="X75" s="400"/>
      <c r="Y75" s="400"/>
      <c r="Z75" s="400"/>
      <c r="AA75" s="400"/>
      <c r="AB75" s="400"/>
      <c r="AC75" s="400"/>
      <c r="AD75" s="400"/>
      <c r="AE75" s="400"/>
      <c r="AF75" s="400"/>
      <c r="AG75" s="400"/>
      <c r="AH75" s="400"/>
      <c r="AI75" s="400"/>
    </row>
    <row r="76" spans="1:35" s="5" customFormat="1" ht="14" customHeight="1">
      <c r="A76" s="821" t="s">
        <v>361</v>
      </c>
      <c r="B76" s="1749"/>
      <c r="C76" s="1705"/>
      <c r="D76" s="1743"/>
      <c r="E76" s="1744"/>
      <c r="F76" s="1742"/>
      <c r="G76" s="1745"/>
      <c r="H76" s="1745"/>
      <c r="I76" s="1745"/>
      <c r="J76" s="1745"/>
      <c r="K76" s="1745"/>
      <c r="L76" s="1745"/>
      <c r="M76" s="1745"/>
      <c r="N76" s="1745"/>
      <c r="O76" s="1745"/>
      <c r="P76" s="1745"/>
      <c r="Q76" s="1745"/>
      <c r="R76" s="1746"/>
      <c r="S76" s="1747">
        <f t="shared" si="4"/>
        <v>0</v>
      </c>
      <c r="T76" s="1748" cm="1">
        <f t="array" ref="T76">SUM(F76:R76)*SUM(C76:E76)-SUM(C76:E76*L76)</f>
        <v>0</v>
      </c>
      <c r="U76" s="2124">
        <f>IF($T$56&gt;0,U75/$T$56,0)</f>
        <v>0</v>
      </c>
      <c r="V76" s="2132">
        <f>U76*0.75</f>
        <v>0</v>
      </c>
      <c r="W76" s="400"/>
      <c r="X76" s="400"/>
      <c r="Y76" s="400"/>
      <c r="Z76" s="400"/>
      <c r="AA76" s="400"/>
      <c r="AB76" s="400"/>
      <c r="AC76" s="400"/>
      <c r="AD76" s="400"/>
      <c r="AE76" s="400"/>
      <c r="AF76" s="400"/>
      <c r="AG76" s="400"/>
      <c r="AH76" s="400"/>
      <c r="AI76" s="400"/>
    </row>
    <row r="77" spans="1:35" s="5" customFormat="1" ht="14" customHeight="1">
      <c r="A77" s="821" t="s">
        <v>362</v>
      </c>
      <c r="B77" s="1749"/>
      <c r="C77" s="1705"/>
      <c r="D77" s="1743"/>
      <c r="E77" s="1744"/>
      <c r="F77" s="1742"/>
      <c r="G77" s="1745"/>
      <c r="H77" s="1745"/>
      <c r="I77" s="1745"/>
      <c r="J77" s="1745"/>
      <c r="K77" s="1745"/>
      <c r="L77" s="1745"/>
      <c r="M77" s="1745"/>
      <c r="N77" s="1745"/>
      <c r="O77" s="1745"/>
      <c r="P77" s="1745"/>
      <c r="Q77" s="1745"/>
      <c r="R77" s="1746"/>
      <c r="S77" s="1747">
        <f t="shared" si="4"/>
        <v>0</v>
      </c>
      <c r="T77" s="1748" cm="1">
        <f t="array" ref="T77">SUM(F77:R77)*SUM(C77:E77)-SUM(C77:E77*L77)</f>
        <v>0</v>
      </c>
      <c r="U77" s="2124"/>
      <c r="V77" s="2132"/>
      <c r="W77" s="400"/>
      <c r="X77" s="400"/>
      <c r="Y77" s="400"/>
      <c r="Z77" s="400"/>
      <c r="AA77" s="400"/>
      <c r="AB77" s="400"/>
      <c r="AC77" s="400"/>
      <c r="AD77" s="400"/>
      <c r="AE77" s="400"/>
      <c r="AF77" s="400"/>
      <c r="AG77" s="400"/>
      <c r="AH77" s="400"/>
      <c r="AI77" s="400"/>
    </row>
    <row r="78" spans="1:35" s="5" customFormat="1" ht="14" customHeight="1">
      <c r="A78" s="821" t="s">
        <v>363</v>
      </c>
      <c r="B78" s="1749"/>
      <c r="C78" s="1705"/>
      <c r="D78" s="1743"/>
      <c r="E78" s="1744"/>
      <c r="F78" s="1742"/>
      <c r="G78" s="1745"/>
      <c r="H78" s="1745"/>
      <c r="I78" s="1745"/>
      <c r="J78" s="1745"/>
      <c r="K78" s="1745"/>
      <c r="L78" s="1745"/>
      <c r="M78" s="1745"/>
      <c r="N78" s="1745"/>
      <c r="O78" s="1745"/>
      <c r="P78" s="1745"/>
      <c r="Q78" s="1745"/>
      <c r="R78" s="1746"/>
      <c r="S78" s="1747">
        <f t="shared" si="4"/>
        <v>0</v>
      </c>
      <c r="T78" s="1748" cm="1">
        <f t="array" ref="T78">SUM(F78:R78)*SUM(C78:E78)-SUM(C78:E78*L78)</f>
        <v>0</v>
      </c>
      <c r="U78" s="2124"/>
      <c r="V78" s="2132"/>
      <c r="W78" s="400"/>
      <c r="X78" s="400"/>
      <c r="Y78" s="400"/>
      <c r="Z78" s="400"/>
      <c r="AA78" s="400"/>
      <c r="AB78" s="400"/>
      <c r="AC78" s="400"/>
      <c r="AD78" s="400"/>
      <c r="AE78" s="400"/>
      <c r="AF78" s="400"/>
      <c r="AG78" s="400"/>
      <c r="AH78" s="400"/>
      <c r="AI78" s="400"/>
    </row>
    <row r="79" spans="1:35" s="5" customFormat="1" ht="14" customHeight="1">
      <c r="A79" s="821" t="s">
        <v>364</v>
      </c>
      <c r="B79" s="1749"/>
      <c r="C79" s="1705"/>
      <c r="D79" s="1743"/>
      <c r="E79" s="1744"/>
      <c r="F79" s="1742"/>
      <c r="G79" s="1745"/>
      <c r="H79" s="1745"/>
      <c r="I79" s="1745"/>
      <c r="J79" s="1745"/>
      <c r="K79" s="1745"/>
      <c r="L79" s="1745"/>
      <c r="M79" s="1745"/>
      <c r="N79" s="1745"/>
      <c r="O79" s="1745"/>
      <c r="P79" s="1745"/>
      <c r="Q79" s="1745"/>
      <c r="R79" s="1746"/>
      <c r="S79" s="1747">
        <f t="shared" si="4"/>
        <v>0</v>
      </c>
      <c r="T79" s="1748" cm="1">
        <f t="array" ref="T79">SUM(F79:R79)*SUM(C79:E79)-SUM(C79:E79*L79)</f>
        <v>0</v>
      </c>
      <c r="U79" s="2124"/>
      <c r="V79" s="2132"/>
      <c r="W79" s="400"/>
      <c r="X79" s="400"/>
      <c r="Y79" s="400"/>
      <c r="Z79" s="400"/>
      <c r="AA79" s="400"/>
      <c r="AB79" s="400"/>
      <c r="AC79" s="400"/>
      <c r="AD79" s="400"/>
      <c r="AE79" s="400"/>
      <c r="AF79" s="400"/>
      <c r="AG79" s="400"/>
      <c r="AH79" s="400"/>
      <c r="AI79" s="400"/>
    </row>
    <row r="80" spans="1:35" s="5" customFormat="1" ht="14" customHeight="1" thickBot="1">
      <c r="A80" s="821" t="s">
        <v>365</v>
      </c>
      <c r="B80" s="1749"/>
      <c r="C80" s="1705"/>
      <c r="D80" s="1743"/>
      <c r="E80" s="1744"/>
      <c r="F80" s="1742"/>
      <c r="G80" s="1745"/>
      <c r="H80" s="1745"/>
      <c r="I80" s="1745"/>
      <c r="J80" s="1745"/>
      <c r="K80" s="1745"/>
      <c r="L80" s="1745"/>
      <c r="M80" s="1745"/>
      <c r="N80" s="1745"/>
      <c r="O80" s="1745"/>
      <c r="P80" s="1745"/>
      <c r="Q80" s="1745"/>
      <c r="R80" s="1746"/>
      <c r="S80" s="1747">
        <f t="shared" si="4"/>
        <v>0</v>
      </c>
      <c r="T80" s="1748" cm="1">
        <f t="array" ref="T80">SUM(F80:R80)*SUM(C80:E80)-SUM(C80:E80*L80)</f>
        <v>0</v>
      </c>
      <c r="U80" s="2124"/>
      <c r="V80" s="2132"/>
      <c r="W80" s="400"/>
      <c r="X80" s="400"/>
      <c r="Y80" s="400"/>
      <c r="Z80" s="400"/>
      <c r="AA80" s="400"/>
      <c r="AB80" s="400"/>
      <c r="AC80" s="400"/>
      <c r="AD80" s="400"/>
      <c r="AE80" s="400"/>
      <c r="AF80" s="400"/>
      <c r="AG80" s="400"/>
      <c r="AH80" s="400"/>
      <c r="AI80" s="400"/>
    </row>
    <row r="81" spans="1:35" s="22" customFormat="1" ht="20" customHeight="1" thickBot="1">
      <c r="A81" s="3426" t="str">
        <f>A28</f>
        <v>Indmeldt over 35,0 timer pr. uge (vægtes med 1,0)</v>
      </c>
      <c r="B81" s="3427"/>
      <c r="C81" s="3427"/>
      <c r="D81" s="3427"/>
      <c r="E81" s="3427"/>
      <c r="F81" s="3427"/>
      <c r="G81" s="3427"/>
      <c r="H81" s="3427"/>
      <c r="I81" s="3427"/>
      <c r="J81" s="3427"/>
      <c r="K81" s="3427"/>
      <c r="L81" s="3427"/>
      <c r="M81" s="3427"/>
      <c r="N81" s="3427"/>
      <c r="O81" s="3427"/>
      <c r="P81" s="3427"/>
      <c r="Q81" s="3427"/>
      <c r="R81" s="3427"/>
      <c r="S81" s="3427"/>
      <c r="T81" s="3428"/>
      <c r="U81" s="2123"/>
      <c r="V81" s="2131"/>
      <c r="W81" s="399"/>
      <c r="X81" s="399"/>
      <c r="Y81" s="399"/>
      <c r="Z81" s="399"/>
      <c r="AA81" s="399"/>
      <c r="AB81" s="399"/>
      <c r="AC81" s="399"/>
      <c r="AD81" s="399"/>
      <c r="AE81" s="399"/>
      <c r="AF81" s="399"/>
      <c r="AG81" s="399"/>
      <c r="AH81" s="399"/>
      <c r="AI81" s="399"/>
    </row>
    <row r="82" spans="1:35" s="5" customFormat="1" ht="14" customHeight="1">
      <c r="A82" s="821" t="s">
        <v>358</v>
      </c>
      <c r="B82" s="1749"/>
      <c r="C82" s="1705"/>
      <c r="D82" s="1743"/>
      <c r="E82" s="1744"/>
      <c r="F82" s="1742"/>
      <c r="G82" s="1745"/>
      <c r="H82" s="1745"/>
      <c r="I82" s="1745"/>
      <c r="J82" s="1745"/>
      <c r="K82" s="1745"/>
      <c r="L82" s="1745"/>
      <c r="M82" s="1745"/>
      <c r="N82" s="1745"/>
      <c r="O82" s="1745"/>
      <c r="P82" s="1745"/>
      <c r="Q82" s="1745"/>
      <c r="R82" s="1746"/>
      <c r="S82" s="1747">
        <f t="shared" ref="S82:S87" si="5">SUM(F82:R82)*B82-(M82*B82)</f>
        <v>0</v>
      </c>
      <c r="T82" s="1748" cm="1">
        <f t="array" ref="T82">SUM(F82:R82)*SUM(C82:E82)-SUM(C82:E82*L82)</f>
        <v>0</v>
      </c>
      <c r="U82" s="514">
        <f>SUM(F82:R89)</f>
        <v>0</v>
      </c>
      <c r="V82" s="2132"/>
      <c r="W82" s="400"/>
      <c r="X82" s="400"/>
      <c r="Y82" s="400"/>
      <c r="Z82" s="400"/>
      <c r="AA82" s="400"/>
      <c r="AB82" s="400"/>
      <c r="AC82" s="400"/>
      <c r="AD82" s="400"/>
      <c r="AE82" s="400"/>
      <c r="AF82" s="400"/>
      <c r="AG82" s="400"/>
      <c r="AH82" s="400"/>
      <c r="AI82" s="400"/>
    </row>
    <row r="83" spans="1:35" s="5" customFormat="1" ht="14" customHeight="1">
      <c r="A83" s="821" t="s">
        <v>359</v>
      </c>
      <c r="B83" s="1749"/>
      <c r="C83" s="1705"/>
      <c r="D83" s="1743"/>
      <c r="E83" s="1744"/>
      <c r="F83" s="1742"/>
      <c r="G83" s="1745"/>
      <c r="H83" s="1745"/>
      <c r="I83" s="1745"/>
      <c r="J83" s="1745"/>
      <c r="K83" s="1745"/>
      <c r="L83" s="1745"/>
      <c r="M83" s="1745"/>
      <c r="N83" s="1745"/>
      <c r="O83" s="1745"/>
      <c r="P83" s="1745"/>
      <c r="Q83" s="1745"/>
      <c r="R83" s="1746"/>
      <c r="S83" s="1747">
        <f t="shared" si="5"/>
        <v>0</v>
      </c>
      <c r="T83" s="1748" cm="1">
        <f t="array" ref="T83">SUM(F83:R83)*SUM(C83:E83)-SUM(C83:E83*L83)</f>
        <v>0</v>
      </c>
      <c r="U83" s="514">
        <f>SUM(L82:L89)</f>
        <v>0</v>
      </c>
      <c r="V83" s="2132"/>
      <c r="W83" s="400"/>
      <c r="X83" s="400"/>
      <c r="Y83" s="400"/>
      <c r="Z83" s="400"/>
      <c r="AA83" s="400"/>
      <c r="AB83" s="400"/>
      <c r="AC83" s="400"/>
      <c r="AD83" s="400"/>
      <c r="AE83" s="400"/>
      <c r="AF83" s="400"/>
      <c r="AG83" s="400"/>
      <c r="AH83" s="400"/>
      <c r="AI83" s="400"/>
    </row>
    <row r="84" spans="1:35" s="5" customFormat="1" ht="14" customHeight="1">
      <c r="A84" s="821" t="s">
        <v>360</v>
      </c>
      <c r="B84" s="1749"/>
      <c r="C84" s="1705"/>
      <c r="D84" s="1743"/>
      <c r="E84" s="1744"/>
      <c r="F84" s="1742"/>
      <c r="G84" s="1745"/>
      <c r="H84" s="1745"/>
      <c r="I84" s="1745"/>
      <c r="J84" s="1745"/>
      <c r="K84" s="1745"/>
      <c r="L84" s="1745"/>
      <c r="M84" s="1745"/>
      <c r="N84" s="1745"/>
      <c r="O84" s="1745"/>
      <c r="P84" s="1745"/>
      <c r="Q84" s="1745"/>
      <c r="R84" s="1746"/>
      <c r="S84" s="1747">
        <f t="shared" si="5"/>
        <v>0</v>
      </c>
      <c r="T84" s="1748" cm="1">
        <f t="array" ref="T84">SUM(F84:R84)*SUM(C84:E84)-SUM(C84:E84*L84)</f>
        <v>0</v>
      </c>
      <c r="U84" s="514">
        <f>U82-U83</f>
        <v>0</v>
      </c>
      <c r="V84" s="2132"/>
      <c r="W84" s="400"/>
      <c r="X84" s="400"/>
      <c r="Y84" s="400"/>
      <c r="Z84" s="400"/>
      <c r="AA84" s="400"/>
      <c r="AB84" s="400"/>
      <c r="AC84" s="400"/>
      <c r="AD84" s="400"/>
      <c r="AE84" s="400"/>
      <c r="AF84" s="400"/>
      <c r="AG84" s="400"/>
      <c r="AH84" s="400"/>
      <c r="AI84" s="400"/>
    </row>
    <row r="85" spans="1:35" s="5" customFormat="1" ht="14" customHeight="1">
      <c r="A85" s="821" t="s">
        <v>361</v>
      </c>
      <c r="B85" s="1749"/>
      <c r="C85" s="1705"/>
      <c r="D85" s="1743"/>
      <c r="E85" s="1744"/>
      <c r="F85" s="1742"/>
      <c r="G85" s="1745"/>
      <c r="H85" s="1745"/>
      <c r="I85" s="1745"/>
      <c r="J85" s="1745"/>
      <c r="K85" s="1745"/>
      <c r="L85" s="1745"/>
      <c r="M85" s="1745"/>
      <c r="N85" s="1745"/>
      <c r="O85" s="1745"/>
      <c r="P85" s="1745"/>
      <c r="Q85" s="1745"/>
      <c r="R85" s="1746"/>
      <c r="S85" s="1747">
        <f t="shared" si="5"/>
        <v>0</v>
      </c>
      <c r="T85" s="1748" cm="1">
        <f t="array" ref="T85">SUM(F85:R85)*SUM(C85:E85)-SUM(C85:E85*L85)</f>
        <v>0</v>
      </c>
      <c r="U85" s="2124">
        <f>IF($T$56&gt;0,U84/$T$56,0)</f>
        <v>0</v>
      </c>
      <c r="V85" s="2132">
        <f>U85*1</f>
        <v>0</v>
      </c>
      <c r="W85" s="400"/>
      <c r="X85" s="400"/>
      <c r="Y85" s="400"/>
      <c r="Z85" s="400"/>
      <c r="AA85" s="400"/>
      <c r="AB85" s="400"/>
      <c r="AC85" s="400"/>
      <c r="AD85" s="400"/>
      <c r="AE85" s="400"/>
      <c r="AF85" s="400"/>
      <c r="AG85" s="400"/>
      <c r="AH85" s="400"/>
      <c r="AI85" s="400"/>
    </row>
    <row r="86" spans="1:35" s="5" customFormat="1" ht="14" customHeight="1">
      <c r="A86" s="821" t="s">
        <v>362</v>
      </c>
      <c r="B86" s="1749"/>
      <c r="C86" s="1705"/>
      <c r="D86" s="1743"/>
      <c r="E86" s="1744"/>
      <c r="F86" s="1742"/>
      <c r="G86" s="1745"/>
      <c r="H86" s="1745"/>
      <c r="I86" s="1745"/>
      <c r="J86" s="1745"/>
      <c r="K86" s="1745"/>
      <c r="L86" s="1745"/>
      <c r="M86" s="1745"/>
      <c r="N86" s="1745"/>
      <c r="O86" s="1745"/>
      <c r="P86" s="1745"/>
      <c r="Q86" s="1745"/>
      <c r="R86" s="1746"/>
      <c r="S86" s="1747">
        <f t="shared" si="5"/>
        <v>0</v>
      </c>
      <c r="T86" s="1748" cm="1">
        <f t="array" ref="T86">SUM(F86:R86)*SUM(C86:E86)-SUM(C86:E86*L86)</f>
        <v>0</v>
      </c>
      <c r="U86" s="2124"/>
      <c r="V86" s="2132"/>
      <c r="W86" s="400"/>
      <c r="X86" s="400"/>
      <c r="Y86" s="400"/>
      <c r="Z86" s="400"/>
      <c r="AA86" s="400"/>
      <c r="AB86" s="400"/>
      <c r="AC86" s="400"/>
      <c r="AD86" s="400"/>
      <c r="AE86" s="400"/>
      <c r="AF86" s="400"/>
      <c r="AG86" s="400"/>
      <c r="AH86" s="400"/>
      <c r="AI86" s="400"/>
    </row>
    <row r="87" spans="1:35" s="5" customFormat="1" ht="14" customHeight="1">
      <c r="A87" s="822" t="s">
        <v>363</v>
      </c>
      <c r="B87" s="1741"/>
      <c r="C87" s="1742"/>
      <c r="D87" s="1743"/>
      <c r="E87" s="1744"/>
      <c r="F87" s="1742"/>
      <c r="G87" s="1745"/>
      <c r="H87" s="1745"/>
      <c r="I87" s="1745"/>
      <c r="J87" s="1745"/>
      <c r="K87" s="1745"/>
      <c r="L87" s="1745"/>
      <c r="M87" s="1745"/>
      <c r="N87" s="1745"/>
      <c r="O87" s="1745"/>
      <c r="P87" s="1745"/>
      <c r="Q87" s="1745"/>
      <c r="R87" s="1746"/>
      <c r="S87" s="1747">
        <f t="shared" si="5"/>
        <v>0</v>
      </c>
      <c r="T87" s="1748" cm="1">
        <f t="array" ref="T87">SUM(F87:R87)*SUM(C87:E87)-SUM(C87:E87*L87)</f>
        <v>0</v>
      </c>
      <c r="U87" s="514"/>
      <c r="V87" s="2132"/>
      <c r="W87" s="400"/>
      <c r="X87" s="400"/>
      <c r="Y87" s="400"/>
      <c r="Z87" s="400"/>
      <c r="AA87" s="400"/>
      <c r="AB87" s="400"/>
      <c r="AC87" s="400"/>
      <c r="AD87" s="400"/>
      <c r="AE87" s="400"/>
      <c r="AF87" s="400"/>
      <c r="AG87" s="400"/>
      <c r="AH87" s="400"/>
      <c r="AI87" s="400"/>
    </row>
    <row r="88" spans="1:35" s="5" customFormat="1" ht="14" customHeight="1">
      <c r="A88" s="822" t="s">
        <v>364</v>
      </c>
      <c r="B88" s="2112"/>
      <c r="C88" s="2113"/>
      <c r="D88" s="2114"/>
      <c r="E88" s="2115"/>
      <c r="F88" s="2116"/>
      <c r="G88" s="2117"/>
      <c r="H88" s="2117"/>
      <c r="I88" s="2117"/>
      <c r="J88" s="2117"/>
      <c r="K88" s="2117"/>
      <c r="L88" s="2117"/>
      <c r="M88" s="2117"/>
      <c r="N88" s="2117"/>
      <c r="O88" s="2117"/>
      <c r="P88" s="2117"/>
      <c r="Q88" s="2117"/>
      <c r="R88" s="2118"/>
      <c r="S88" s="2119"/>
      <c r="T88" s="2120"/>
      <c r="U88" s="514"/>
      <c r="V88" s="2132"/>
      <c r="W88" s="400"/>
      <c r="X88" s="400"/>
      <c r="Y88" s="400"/>
      <c r="Z88" s="400"/>
      <c r="AA88" s="400"/>
      <c r="AB88" s="400"/>
      <c r="AC88" s="400"/>
      <c r="AD88" s="400"/>
      <c r="AE88" s="400"/>
      <c r="AF88" s="400"/>
      <c r="AG88" s="400"/>
      <c r="AH88" s="400"/>
      <c r="AI88" s="400"/>
    </row>
    <row r="89" spans="1:35" s="5" customFormat="1" ht="14" customHeight="1" thickBot="1">
      <c r="A89" s="822" t="s">
        <v>365</v>
      </c>
      <c r="B89" s="1750"/>
      <c r="C89" s="1751"/>
      <c r="D89" s="1752"/>
      <c r="E89" s="1753"/>
      <c r="F89" s="1718"/>
      <c r="G89" s="1719"/>
      <c r="H89" s="1719"/>
      <c r="I89" s="1719"/>
      <c r="J89" s="1719"/>
      <c r="K89" s="1719"/>
      <c r="L89" s="1719"/>
      <c r="M89" s="1719"/>
      <c r="N89" s="1719"/>
      <c r="O89" s="1719"/>
      <c r="P89" s="1719"/>
      <c r="Q89" s="1719"/>
      <c r="R89" s="1753"/>
      <c r="S89" s="1758">
        <f>SUM(F89:R89)*B89-(M89*B89)</f>
        <v>0</v>
      </c>
      <c r="T89" s="1759" cm="1">
        <f t="array" ref="T89">SUM(F89:R89)*SUM(C89:E89)-SUM(C89:E89*L89)</f>
        <v>0</v>
      </c>
      <c r="U89" s="514"/>
      <c r="V89" s="2132"/>
      <c r="W89" s="400"/>
      <c r="X89" s="400"/>
      <c r="Y89" s="400"/>
      <c r="Z89" s="400"/>
      <c r="AA89" s="400"/>
      <c r="AB89" s="400"/>
      <c r="AC89" s="400"/>
      <c r="AD89" s="400"/>
      <c r="AE89" s="400"/>
      <c r="AF89" s="400"/>
      <c r="AG89" s="400"/>
      <c r="AH89" s="400"/>
      <c r="AI89" s="400"/>
    </row>
    <row r="90" spans="1:35" s="5" customFormat="1" ht="16.5" customHeight="1" thickBot="1">
      <c r="A90" s="823"/>
      <c r="B90" s="507" t="str">
        <f>"Indtægter i alt til hovedskema. Lin. 19 og 26"</f>
        <v>Indtægter i alt til hovedskema. Lin. 19 og 26</v>
      </c>
      <c r="C90" s="507"/>
      <c r="D90" s="507"/>
      <c r="E90" s="507"/>
      <c r="F90" s="507"/>
      <c r="G90" s="507"/>
      <c r="H90" s="507"/>
      <c r="I90" s="507"/>
      <c r="J90" s="507"/>
      <c r="K90" s="507"/>
      <c r="L90" s="507"/>
      <c r="M90" s="507"/>
      <c r="N90" s="507"/>
      <c r="O90" s="507"/>
      <c r="P90" s="507"/>
      <c r="Q90" s="507"/>
      <c r="R90" s="826"/>
      <c r="S90" s="827">
        <f>SUM(S64:S89)</f>
        <v>0</v>
      </c>
      <c r="T90" s="827">
        <f>SUM(T64:T89)</f>
        <v>0</v>
      </c>
      <c r="U90" s="514"/>
      <c r="V90" s="2132"/>
      <c r="W90" s="400"/>
      <c r="X90" s="400"/>
      <c r="Y90" s="400"/>
      <c r="Z90" s="400"/>
      <c r="AA90" s="400"/>
      <c r="AB90" s="400"/>
      <c r="AC90" s="400"/>
      <c r="AD90" s="400"/>
      <c r="AE90" s="400"/>
      <c r="AF90" s="400"/>
      <c r="AG90" s="400"/>
      <c r="AH90" s="400"/>
    </row>
    <row r="91" spans="1:35" s="5" customFormat="1" ht="24" customHeight="1">
      <c r="A91" s="3274" t="s">
        <v>821</v>
      </c>
      <c r="B91" s="3275"/>
      <c r="C91" s="3275"/>
      <c r="D91" s="3275"/>
      <c r="E91" s="3275"/>
      <c r="F91" s="3275"/>
      <c r="G91" s="3275"/>
      <c r="H91" s="3275"/>
      <c r="I91" s="3275"/>
      <c r="J91" s="3275"/>
      <c r="K91" s="3275"/>
      <c r="L91" s="3275"/>
      <c r="M91" s="3275"/>
      <c r="N91" s="3275"/>
      <c r="O91" s="3275"/>
      <c r="P91" s="3275"/>
      <c r="Q91" s="3275"/>
      <c r="R91" s="3275"/>
      <c r="S91" s="3275"/>
      <c r="T91" s="3276"/>
      <c r="U91" s="514"/>
      <c r="V91" s="2132"/>
      <c r="W91" s="400"/>
      <c r="X91" s="400"/>
      <c r="Y91" s="400"/>
      <c r="Z91" s="400"/>
      <c r="AA91" s="400"/>
      <c r="AB91" s="400"/>
      <c r="AC91" s="400"/>
      <c r="AD91" s="400"/>
      <c r="AE91" s="400"/>
      <c r="AF91" s="400"/>
      <c r="AG91" s="400"/>
      <c r="AH91" s="400"/>
    </row>
    <row r="92" spans="1:35" s="5" customFormat="1" ht="17" customHeight="1" thickBot="1">
      <c r="A92" s="3277" t="str">
        <f>"(ønskes flere rækker, kan disse indsættes imellem linie "&amp;U93&amp;" - "&amp;U97&amp;""</f>
        <v>(ønskes flere rækker, kan disse indsættes imellem linie 93 - 97</v>
      </c>
      <c r="B92" s="3278"/>
      <c r="C92" s="3278"/>
      <c r="D92" s="3278"/>
      <c r="E92" s="3278"/>
      <c r="F92" s="3278"/>
      <c r="G92" s="3278"/>
      <c r="H92" s="3278"/>
      <c r="I92" s="3278"/>
      <c r="J92" s="3278"/>
      <c r="K92" s="3278"/>
      <c r="L92" s="3278"/>
      <c r="M92" s="3278"/>
      <c r="N92" s="3278"/>
      <c r="O92" s="3278"/>
      <c r="P92" s="3278"/>
      <c r="Q92" s="3278"/>
      <c r="R92" s="3278"/>
      <c r="S92" s="3278"/>
      <c r="T92" s="3279"/>
      <c r="U92" s="514"/>
      <c r="V92" s="2132"/>
      <c r="W92" s="400"/>
      <c r="X92" s="400"/>
      <c r="Y92" s="400"/>
      <c r="Z92" s="400"/>
      <c r="AA92" s="400"/>
      <c r="AB92" s="400"/>
      <c r="AC92" s="400"/>
      <c r="AD92" s="400"/>
      <c r="AE92" s="400"/>
      <c r="AF92" s="400"/>
      <c r="AG92" s="400"/>
      <c r="AH92" s="400"/>
    </row>
    <row r="93" spans="1:35" s="5" customFormat="1" ht="14" customHeight="1">
      <c r="A93" s="1721" t="s">
        <v>761</v>
      </c>
      <c r="B93" s="508"/>
      <c r="C93" s="508"/>
      <c r="D93" s="508"/>
      <c r="E93" s="508"/>
      <c r="F93" s="508"/>
      <c r="G93" s="508"/>
      <c r="H93" s="508"/>
      <c r="I93" s="508"/>
      <c r="J93" s="508"/>
      <c r="K93" s="508"/>
      <c r="L93" s="508"/>
      <c r="M93" s="508"/>
      <c r="N93" s="508"/>
      <c r="O93" s="508"/>
      <c r="P93" s="508"/>
      <c r="Q93" s="508"/>
      <c r="R93" s="508"/>
      <c r="S93" s="3280"/>
      <c r="T93" s="3281"/>
      <c r="U93" s="514">
        <f>ROW(T93)</f>
        <v>93</v>
      </c>
      <c r="V93" s="2132"/>
      <c r="W93" s="400"/>
      <c r="X93" s="400"/>
      <c r="Y93" s="400"/>
      <c r="Z93" s="400"/>
      <c r="AA93" s="400"/>
      <c r="AB93" s="400"/>
      <c r="AC93" s="400"/>
      <c r="AD93" s="400"/>
      <c r="AE93" s="400"/>
      <c r="AF93" s="400"/>
      <c r="AG93" s="400"/>
      <c r="AH93" s="400"/>
    </row>
    <row r="94" spans="1:35" s="5" customFormat="1" ht="14" customHeight="1">
      <c r="A94" s="3270" t="s">
        <v>708</v>
      </c>
      <c r="B94" s="3271"/>
      <c r="C94" s="3271"/>
      <c r="D94" s="3271"/>
      <c r="E94" s="3271"/>
      <c r="F94" s="3271"/>
      <c r="G94" s="3271"/>
      <c r="H94" s="3271"/>
      <c r="I94" s="3271"/>
      <c r="J94" s="3271"/>
      <c r="K94" s="3271"/>
      <c r="L94" s="3271"/>
      <c r="M94" s="3271"/>
      <c r="N94" s="3271"/>
      <c r="O94" s="3271"/>
      <c r="P94" s="3271"/>
      <c r="Q94" s="3271"/>
      <c r="R94" s="3271"/>
      <c r="S94" s="3282"/>
      <c r="T94" s="3283"/>
      <c r="U94" s="514"/>
      <c r="V94" s="2132"/>
      <c r="W94" s="400"/>
      <c r="X94" s="400"/>
      <c r="Y94" s="400"/>
      <c r="Z94" s="400"/>
      <c r="AA94" s="400"/>
      <c r="AB94" s="400"/>
      <c r="AC94" s="400"/>
      <c r="AD94" s="400"/>
      <c r="AE94" s="400"/>
      <c r="AF94" s="400"/>
      <c r="AG94" s="400"/>
      <c r="AH94" s="400"/>
    </row>
    <row r="95" spans="1:35" s="5" customFormat="1" ht="14" customHeight="1">
      <c r="A95" s="3270"/>
      <c r="B95" s="3271"/>
      <c r="C95" s="3271"/>
      <c r="D95" s="3271"/>
      <c r="E95" s="3271"/>
      <c r="F95" s="3271"/>
      <c r="G95" s="3271"/>
      <c r="H95" s="3271"/>
      <c r="I95" s="3271"/>
      <c r="J95" s="3271"/>
      <c r="K95" s="3271"/>
      <c r="L95" s="3271"/>
      <c r="M95" s="3271"/>
      <c r="N95" s="3271"/>
      <c r="O95" s="3271"/>
      <c r="P95" s="3271"/>
      <c r="Q95" s="3271"/>
      <c r="R95" s="3271"/>
      <c r="S95" s="3282"/>
      <c r="T95" s="3283"/>
      <c r="U95" s="514"/>
      <c r="V95" s="2132"/>
      <c r="W95" s="400"/>
      <c r="X95" s="400"/>
      <c r="Y95" s="400"/>
      <c r="Z95" s="400"/>
      <c r="AA95" s="400"/>
      <c r="AB95" s="400"/>
      <c r="AC95" s="400"/>
      <c r="AD95" s="400"/>
      <c r="AE95" s="400"/>
      <c r="AF95" s="400"/>
      <c r="AG95" s="400"/>
      <c r="AH95" s="400"/>
    </row>
    <row r="96" spans="1:35" s="5" customFormat="1" ht="14" customHeight="1">
      <c r="A96" s="3270"/>
      <c r="B96" s="3271"/>
      <c r="C96" s="3271"/>
      <c r="D96" s="3271"/>
      <c r="E96" s="3271"/>
      <c r="F96" s="3271"/>
      <c r="G96" s="3271"/>
      <c r="H96" s="3271"/>
      <c r="I96" s="3271"/>
      <c r="J96" s="3271"/>
      <c r="K96" s="3271"/>
      <c r="L96" s="3271"/>
      <c r="M96" s="3271"/>
      <c r="N96" s="3271"/>
      <c r="O96" s="3271"/>
      <c r="P96" s="3271"/>
      <c r="Q96" s="3271"/>
      <c r="R96" s="3271"/>
      <c r="S96" s="3282"/>
      <c r="T96" s="3283"/>
      <c r="U96" s="514"/>
      <c r="V96" s="2132"/>
      <c r="W96" s="400"/>
      <c r="X96" s="400"/>
      <c r="Y96" s="400"/>
      <c r="Z96" s="400"/>
      <c r="AA96" s="400"/>
      <c r="AB96" s="400"/>
      <c r="AC96" s="400"/>
      <c r="AD96" s="400"/>
      <c r="AE96" s="400"/>
      <c r="AF96" s="400"/>
      <c r="AG96" s="400"/>
      <c r="AH96" s="400"/>
    </row>
    <row r="97" spans="1:35" s="5" customFormat="1" ht="14" customHeight="1" thickBot="1">
      <c r="A97" s="3270"/>
      <c r="B97" s="3271"/>
      <c r="C97" s="3271"/>
      <c r="D97" s="3271"/>
      <c r="E97" s="3271"/>
      <c r="F97" s="3271"/>
      <c r="G97" s="3271"/>
      <c r="H97" s="3271"/>
      <c r="I97" s="3271"/>
      <c r="J97" s="3271"/>
      <c r="K97" s="3271"/>
      <c r="L97" s="3271"/>
      <c r="M97" s="3271"/>
      <c r="N97" s="3271"/>
      <c r="O97" s="3271"/>
      <c r="P97" s="3271"/>
      <c r="Q97" s="3271"/>
      <c r="R97" s="3271"/>
      <c r="S97" s="3282"/>
      <c r="T97" s="3283"/>
      <c r="U97" s="514">
        <f>ROW(T97)</f>
        <v>97</v>
      </c>
      <c r="V97" s="2132"/>
      <c r="W97" s="400"/>
      <c r="X97" s="400"/>
      <c r="Y97" s="400"/>
      <c r="Z97" s="400"/>
      <c r="AA97" s="400"/>
      <c r="AB97" s="400"/>
      <c r="AC97" s="400"/>
      <c r="AD97" s="400"/>
      <c r="AE97" s="400"/>
      <c r="AF97" s="400"/>
      <c r="AG97" s="400"/>
      <c r="AH97" s="400"/>
    </row>
    <row r="98" spans="1:35" s="5" customFormat="1" ht="14" customHeight="1" thickBot="1">
      <c r="A98" s="3364" t="s">
        <v>822</v>
      </c>
      <c r="B98" s="3365"/>
      <c r="C98" s="3365"/>
      <c r="D98" s="3365"/>
      <c r="E98" s="3365"/>
      <c r="F98" s="3365"/>
      <c r="G98" s="3365"/>
      <c r="H98" s="3365"/>
      <c r="I98" s="3365"/>
      <c r="J98" s="3365"/>
      <c r="K98" s="3365"/>
      <c r="L98" s="3365"/>
      <c r="M98" s="3365"/>
      <c r="N98" s="3365"/>
      <c r="O98" s="3365"/>
      <c r="P98" s="3365"/>
      <c r="Q98" s="3365"/>
      <c r="R98" s="3365"/>
      <c r="S98" s="3362">
        <f>SUM(S93:S97)</f>
        <v>0</v>
      </c>
      <c r="T98" s="3363"/>
      <c r="U98" s="514"/>
      <c r="V98" s="2132"/>
      <c r="W98" s="400"/>
      <c r="X98" s="400"/>
      <c r="Y98" s="400"/>
      <c r="Z98" s="400"/>
      <c r="AA98" s="400"/>
      <c r="AB98" s="400"/>
      <c r="AC98" s="400"/>
      <c r="AD98" s="400"/>
      <c r="AE98" s="400"/>
      <c r="AF98" s="400"/>
      <c r="AG98" s="400"/>
      <c r="AH98" s="400"/>
    </row>
    <row r="99" spans="1:35" s="5" customFormat="1" ht="24" customHeight="1">
      <c r="A99" s="3274" t="s">
        <v>823</v>
      </c>
      <c r="B99" s="3275"/>
      <c r="C99" s="3275"/>
      <c r="D99" s="3275"/>
      <c r="E99" s="3275"/>
      <c r="F99" s="3275"/>
      <c r="G99" s="3275"/>
      <c r="H99" s="3275"/>
      <c r="I99" s="3275"/>
      <c r="J99" s="3275"/>
      <c r="K99" s="3275"/>
      <c r="L99" s="3275"/>
      <c r="M99" s="3275"/>
      <c r="N99" s="3275"/>
      <c r="O99" s="3275"/>
      <c r="P99" s="3275"/>
      <c r="Q99" s="3275"/>
      <c r="R99" s="3275"/>
      <c r="S99" s="3275"/>
      <c r="T99" s="3276"/>
      <c r="U99" s="514"/>
      <c r="V99" s="2132"/>
      <c r="W99" s="400"/>
      <c r="X99" s="400"/>
      <c r="Y99" s="400"/>
      <c r="Z99" s="400"/>
      <c r="AA99" s="400"/>
      <c r="AB99" s="400"/>
      <c r="AC99" s="400"/>
      <c r="AD99" s="400"/>
      <c r="AE99" s="400"/>
      <c r="AF99" s="400"/>
      <c r="AG99" s="400"/>
      <c r="AH99" s="400"/>
    </row>
    <row r="100" spans="1:35" s="5" customFormat="1" ht="17" customHeight="1" thickBot="1">
      <c r="A100" s="3277" t="str">
        <f>"(ønskes flere rækker, kan disse indsættes imellem linie "&amp;U101&amp;" - "&amp;U105&amp;""</f>
        <v>(ønskes flere rækker, kan disse indsættes imellem linie 101 - 105</v>
      </c>
      <c r="B100" s="3278"/>
      <c r="C100" s="3278"/>
      <c r="D100" s="3278"/>
      <c r="E100" s="3278"/>
      <c r="F100" s="3278"/>
      <c r="G100" s="3278"/>
      <c r="H100" s="3278"/>
      <c r="I100" s="3278"/>
      <c r="J100" s="3278"/>
      <c r="K100" s="3278"/>
      <c r="L100" s="3278"/>
      <c r="M100" s="3278"/>
      <c r="N100" s="3278"/>
      <c r="O100" s="3278"/>
      <c r="P100" s="3278"/>
      <c r="Q100" s="3278"/>
      <c r="R100" s="3278"/>
      <c r="S100" s="3278"/>
      <c r="T100" s="3279"/>
      <c r="U100" s="514"/>
      <c r="V100" s="2132"/>
      <c r="W100" s="400"/>
      <c r="X100" s="400"/>
      <c r="Y100" s="400"/>
      <c r="Z100" s="400"/>
      <c r="AA100" s="400"/>
      <c r="AB100" s="400"/>
      <c r="AC100" s="400"/>
      <c r="AD100" s="400"/>
      <c r="AE100" s="400"/>
      <c r="AF100" s="400"/>
      <c r="AG100" s="400"/>
      <c r="AH100" s="400"/>
    </row>
    <row r="101" spans="1:35" s="5" customFormat="1" ht="14" customHeight="1">
      <c r="A101" s="3268" t="s">
        <v>786</v>
      </c>
      <c r="B101" s="3269"/>
      <c r="C101" s="3269"/>
      <c r="D101" s="3269"/>
      <c r="E101" s="3269"/>
      <c r="F101" s="3269"/>
      <c r="G101" s="3269"/>
      <c r="H101" s="3269"/>
      <c r="I101" s="3269"/>
      <c r="J101" s="3269"/>
      <c r="K101" s="3269"/>
      <c r="L101" s="3269"/>
      <c r="M101" s="3269"/>
      <c r="N101" s="3269"/>
      <c r="O101" s="3269"/>
      <c r="P101" s="3269"/>
      <c r="Q101" s="3269"/>
      <c r="R101" s="3269"/>
      <c r="S101" s="3280"/>
      <c r="T101" s="3281"/>
      <c r="U101" s="514">
        <f>ROW(T101)</f>
        <v>101</v>
      </c>
      <c r="V101" s="2132"/>
      <c r="W101" s="400"/>
      <c r="X101" s="400"/>
      <c r="Y101" s="400"/>
      <c r="Z101" s="400"/>
      <c r="AA101" s="400"/>
      <c r="AB101" s="400"/>
      <c r="AC101" s="400"/>
      <c r="AD101" s="400"/>
      <c r="AE101" s="400"/>
      <c r="AF101" s="400"/>
      <c r="AG101" s="400"/>
      <c r="AH101" s="400"/>
    </row>
    <row r="102" spans="1:35" s="5" customFormat="1" ht="14" customHeight="1">
      <c r="A102" s="3270"/>
      <c r="B102" s="3271"/>
      <c r="C102" s="3271"/>
      <c r="D102" s="3271"/>
      <c r="E102" s="3271"/>
      <c r="F102" s="3271"/>
      <c r="G102" s="3271"/>
      <c r="H102" s="3271"/>
      <c r="I102" s="3271"/>
      <c r="J102" s="3271"/>
      <c r="K102" s="3271"/>
      <c r="L102" s="3271"/>
      <c r="M102" s="3271"/>
      <c r="N102" s="3271"/>
      <c r="O102" s="3271"/>
      <c r="P102" s="3271"/>
      <c r="Q102" s="3271"/>
      <c r="R102" s="3271"/>
      <c r="S102" s="3282"/>
      <c r="T102" s="3283"/>
      <c r="U102" s="514"/>
      <c r="V102" s="2132"/>
      <c r="W102" s="400"/>
      <c r="X102" s="400"/>
      <c r="Y102" s="400"/>
      <c r="Z102" s="400"/>
      <c r="AA102" s="400"/>
      <c r="AB102" s="400"/>
      <c r="AC102" s="400"/>
      <c r="AD102" s="400"/>
      <c r="AE102" s="400"/>
      <c r="AF102" s="400"/>
      <c r="AG102" s="400"/>
      <c r="AH102" s="400"/>
    </row>
    <row r="103" spans="1:35" s="5" customFormat="1" ht="14" customHeight="1">
      <c r="A103" s="3270"/>
      <c r="B103" s="3271"/>
      <c r="C103" s="3271"/>
      <c r="D103" s="3271"/>
      <c r="E103" s="3271"/>
      <c r="F103" s="3271"/>
      <c r="G103" s="3271"/>
      <c r="H103" s="3271"/>
      <c r="I103" s="3271"/>
      <c r="J103" s="3271"/>
      <c r="K103" s="3271"/>
      <c r="L103" s="3271"/>
      <c r="M103" s="3271"/>
      <c r="N103" s="3271"/>
      <c r="O103" s="3271"/>
      <c r="P103" s="3271"/>
      <c r="Q103" s="3271"/>
      <c r="R103" s="3271"/>
      <c r="S103" s="3282"/>
      <c r="T103" s="3283"/>
      <c r="U103" s="514"/>
      <c r="V103" s="2132"/>
      <c r="W103" s="400"/>
      <c r="X103" s="400"/>
      <c r="Y103" s="400"/>
      <c r="Z103" s="400"/>
      <c r="AA103" s="400"/>
      <c r="AB103" s="400"/>
      <c r="AC103" s="400"/>
      <c r="AD103" s="400"/>
      <c r="AE103" s="400"/>
      <c r="AF103" s="400"/>
      <c r="AG103" s="400"/>
      <c r="AH103" s="400"/>
    </row>
    <row r="104" spans="1:35" s="5" customFormat="1" ht="14" customHeight="1">
      <c r="A104" s="3270"/>
      <c r="B104" s="3271"/>
      <c r="C104" s="3271"/>
      <c r="D104" s="3271"/>
      <c r="E104" s="3271"/>
      <c r="F104" s="3271"/>
      <c r="G104" s="3271"/>
      <c r="H104" s="3271"/>
      <c r="I104" s="3271"/>
      <c r="J104" s="3271"/>
      <c r="K104" s="3271"/>
      <c r="L104" s="3271"/>
      <c r="M104" s="3271"/>
      <c r="N104" s="3271"/>
      <c r="O104" s="3271"/>
      <c r="P104" s="3271"/>
      <c r="Q104" s="3271"/>
      <c r="R104" s="3271"/>
      <c r="S104" s="3282"/>
      <c r="T104" s="3283"/>
      <c r="U104" s="514"/>
      <c r="V104" s="2132"/>
      <c r="W104" s="400"/>
      <c r="X104" s="400"/>
      <c r="Y104" s="400"/>
      <c r="Z104" s="400"/>
      <c r="AA104" s="400"/>
      <c r="AB104" s="400"/>
      <c r="AC104" s="400"/>
      <c r="AD104" s="400"/>
      <c r="AE104" s="400"/>
      <c r="AF104" s="400"/>
      <c r="AG104" s="400"/>
      <c r="AH104" s="400"/>
    </row>
    <row r="105" spans="1:35" s="5" customFormat="1" ht="14" customHeight="1" thickBot="1">
      <c r="A105" s="3270"/>
      <c r="B105" s="3271"/>
      <c r="C105" s="3271"/>
      <c r="D105" s="3271"/>
      <c r="E105" s="3271"/>
      <c r="F105" s="3271"/>
      <c r="G105" s="3271"/>
      <c r="H105" s="3271"/>
      <c r="I105" s="3271"/>
      <c r="J105" s="3271"/>
      <c r="K105" s="3271"/>
      <c r="L105" s="3271"/>
      <c r="M105" s="3271"/>
      <c r="N105" s="3271"/>
      <c r="O105" s="3271"/>
      <c r="P105" s="3271"/>
      <c r="Q105" s="3271"/>
      <c r="R105" s="3271"/>
      <c r="S105" s="3284"/>
      <c r="T105" s="3285"/>
      <c r="U105" s="514">
        <f>ROW(T105)</f>
        <v>105</v>
      </c>
      <c r="V105" s="2132"/>
      <c r="W105" s="400"/>
      <c r="X105" s="400"/>
      <c r="Y105" s="400"/>
      <c r="Z105" s="400"/>
      <c r="AA105" s="400"/>
      <c r="AB105" s="400"/>
      <c r="AC105" s="400"/>
      <c r="AD105" s="400"/>
      <c r="AE105" s="400"/>
      <c r="AF105" s="400"/>
      <c r="AG105" s="400"/>
      <c r="AH105" s="400"/>
    </row>
    <row r="106" spans="1:35" s="5" customFormat="1" ht="14" customHeight="1" thickBot="1">
      <c r="A106" s="3364" t="s">
        <v>824</v>
      </c>
      <c r="B106" s="3365"/>
      <c r="C106" s="3365"/>
      <c r="D106" s="3365"/>
      <c r="E106" s="3365"/>
      <c r="F106" s="3365"/>
      <c r="G106" s="3365"/>
      <c r="H106" s="3365"/>
      <c r="I106" s="3365"/>
      <c r="J106" s="3365"/>
      <c r="K106" s="3365"/>
      <c r="L106" s="3365"/>
      <c r="M106" s="3365"/>
      <c r="N106" s="3365"/>
      <c r="O106" s="3365"/>
      <c r="P106" s="3365"/>
      <c r="Q106" s="3365"/>
      <c r="R106" s="3366"/>
      <c r="S106" s="3379">
        <f>SUM(S101:S105)</f>
        <v>0</v>
      </c>
      <c r="T106" s="3380"/>
      <c r="U106" s="514"/>
      <c r="V106" s="2132"/>
      <c r="W106" s="400"/>
      <c r="X106" s="400"/>
      <c r="Y106" s="400"/>
      <c r="Z106" s="400"/>
      <c r="AA106" s="400"/>
      <c r="AB106" s="400"/>
      <c r="AC106" s="400"/>
      <c r="AD106" s="400"/>
      <c r="AE106" s="400"/>
      <c r="AF106" s="400"/>
      <c r="AG106" s="400"/>
      <c r="AH106" s="400"/>
    </row>
    <row r="107" spans="1:35" ht="16" customHeight="1" thickBot="1">
      <c r="A107" s="905"/>
      <c r="B107" s="906"/>
      <c r="C107" s="906"/>
      <c r="D107" s="907"/>
      <c r="E107" s="906"/>
      <c r="F107" s="906"/>
      <c r="G107" s="906"/>
      <c r="H107" s="906"/>
      <c r="I107" s="906"/>
      <c r="J107" s="906"/>
      <c r="K107" s="906"/>
      <c r="L107" s="906"/>
      <c r="M107" s="906"/>
      <c r="N107" s="906"/>
      <c r="O107" s="906"/>
      <c r="P107" s="906"/>
      <c r="Q107" s="906"/>
      <c r="R107" s="908"/>
      <c r="S107" s="908"/>
      <c r="T107" s="908"/>
      <c r="U107" s="2127"/>
      <c r="V107" s="2134"/>
      <c r="W107" s="369"/>
      <c r="X107" s="369"/>
      <c r="Y107" s="369"/>
      <c r="Z107" s="369"/>
      <c r="AA107" s="369"/>
      <c r="AB107" s="369"/>
      <c r="AC107" s="369"/>
      <c r="AD107" s="369"/>
      <c r="AE107" s="369"/>
      <c r="AF107" s="369"/>
      <c r="AG107" s="369"/>
      <c r="AH107" s="369"/>
      <c r="AI107" s="369"/>
    </row>
    <row r="108" spans="1:35" ht="17" hidden="1" thickBot="1">
      <c r="A108" s="404"/>
      <c r="B108" s="401"/>
      <c r="C108" s="401"/>
      <c r="D108" s="402"/>
      <c r="E108" s="401"/>
      <c r="F108" s="401"/>
      <c r="G108" s="401"/>
      <c r="H108" s="401"/>
      <c r="I108" s="401"/>
      <c r="J108" s="401"/>
      <c r="K108" s="401"/>
      <c r="L108" s="401"/>
      <c r="M108" s="401"/>
      <c r="N108" s="401"/>
      <c r="O108" s="401"/>
      <c r="P108" s="401"/>
      <c r="Q108" s="401"/>
      <c r="R108" s="403"/>
      <c r="S108" s="403"/>
      <c r="T108" s="403"/>
      <c r="U108" s="2127"/>
      <c r="V108" s="2134"/>
      <c r="W108" s="369"/>
      <c r="X108" s="369"/>
      <c r="Y108" s="369"/>
      <c r="Z108" s="369"/>
      <c r="AA108" s="369"/>
      <c r="AB108" s="369"/>
      <c r="AC108" s="369"/>
      <c r="AD108" s="369"/>
      <c r="AE108" s="369"/>
      <c r="AF108" s="369"/>
      <c r="AG108" s="369"/>
      <c r="AH108" s="369"/>
      <c r="AI108" s="369"/>
    </row>
    <row r="109" spans="1:35" ht="53" customHeight="1" thickBot="1">
      <c r="A109" s="3367" t="s">
        <v>825</v>
      </c>
      <c r="B109" s="3368"/>
      <c r="C109" s="3368"/>
      <c r="D109" s="3368"/>
      <c r="E109" s="3368"/>
      <c r="F109" s="3368"/>
      <c r="G109" s="3368"/>
      <c r="H109" s="3369"/>
      <c r="I109" s="369"/>
      <c r="J109" s="3424" t="s">
        <v>1554</v>
      </c>
      <c r="K109" s="3424"/>
      <c r="L109" s="3424"/>
      <c r="M109" s="3424"/>
      <c r="N109" s="3424"/>
      <c r="O109" s="3424"/>
      <c r="P109" s="3424"/>
      <c r="Q109" s="3424"/>
      <c r="R109" s="336"/>
      <c r="S109" s="336"/>
      <c r="T109" s="336"/>
      <c r="U109" s="336"/>
      <c r="V109" s="2242"/>
      <c r="W109" s="336"/>
      <c r="X109" s="336"/>
      <c r="Y109" s="369"/>
      <c r="Z109" s="369"/>
    </row>
    <row r="110" spans="1:35" ht="16">
      <c r="A110" s="909" t="s">
        <v>827</v>
      </c>
      <c r="B110" s="3373" t="s">
        <v>828</v>
      </c>
      <c r="C110" s="3373"/>
      <c r="D110" s="3374"/>
      <c r="E110" s="1760">
        <f>budgetår</f>
        <v>2026</v>
      </c>
      <c r="F110" s="3370">
        <f>budgetår+1</f>
        <v>2027</v>
      </c>
      <c r="G110" s="3370"/>
      <c r="H110" s="3371"/>
      <c r="I110" s="369"/>
      <c r="J110" s="3424"/>
      <c r="K110" s="3424"/>
      <c r="L110" s="3424"/>
      <c r="M110" s="3424"/>
      <c r="N110" s="3424"/>
      <c r="O110" s="3424"/>
      <c r="P110" s="3424"/>
      <c r="Q110" s="3424"/>
      <c r="R110" s="336"/>
      <c r="S110" s="336"/>
      <c r="T110" s="336"/>
      <c r="U110" s="336"/>
      <c r="V110" s="2242">
        <f>SUM('Lon pæd., TAP mm'!AA14:AY14)</f>
        <v>0</v>
      </c>
      <c r="W110" s="336">
        <f>SUM('Lon pæd., TAP mm'!X14:Z14)</f>
        <v>0</v>
      </c>
      <c r="X110" s="336"/>
      <c r="Y110" s="369"/>
      <c r="Z110" s="369"/>
      <c r="AA110" s="369"/>
      <c r="AB110" s="369"/>
      <c r="AC110" s="369"/>
    </row>
    <row r="111" spans="1:35" ht="16">
      <c r="A111" s="1761"/>
      <c r="B111" s="3286" t="s">
        <v>829</v>
      </c>
      <c r="C111" s="3286"/>
      <c r="D111" s="3381"/>
      <c r="E111" s="1764">
        <f>'Lon pæd., TAP mm'!BA56+'Lon pæd., TAP mm'!BA84+SUM('Lon pæd., TAP mm'!AZ81:BA81)</f>
        <v>0</v>
      </c>
      <c r="F111" s="3431">
        <f>'Lon pæd., TAP mm'!BA57+'Lon pæd., TAP mm'!BA85+SUM('Lon pæd., TAP mm'!AZ83:BA83)</f>
        <v>0</v>
      </c>
      <c r="G111" s="3431"/>
      <c r="H111" s="3432"/>
      <c r="I111" s="369"/>
      <c r="J111" s="3424"/>
      <c r="K111" s="3424"/>
      <c r="L111" s="3424"/>
      <c r="M111" s="3424"/>
      <c r="N111" s="3424"/>
      <c r="O111" s="3424"/>
      <c r="P111" s="3424"/>
      <c r="Q111" s="3424"/>
      <c r="R111" s="336"/>
      <c r="S111" s="336"/>
      <c r="T111" s="336"/>
      <c r="U111" s="336"/>
      <c r="V111" s="2242">
        <f>SUM('Lon pæd., TAP mm'!AA24:AY24)</f>
        <v>0</v>
      </c>
      <c r="W111" s="336"/>
      <c r="X111" s="336"/>
      <c r="Y111" s="369"/>
      <c r="Z111" s="369"/>
      <c r="AA111" s="369"/>
      <c r="AB111" s="369"/>
      <c r="AC111" s="369"/>
    </row>
    <row r="112" spans="1:35" ht="16">
      <c r="A112" s="1761"/>
      <c r="B112" s="1762" t="s">
        <v>830</v>
      </c>
      <c r="C112" s="1762"/>
      <c r="D112" s="1763"/>
      <c r="E112" s="1764">
        <f>Administration!E66</f>
        <v>0</v>
      </c>
      <c r="F112" s="3412">
        <f>'Lon pæd., TAP mm'!BA93</f>
        <v>0</v>
      </c>
      <c r="G112" s="3413"/>
      <c r="H112" s="3414"/>
      <c r="I112" s="369"/>
      <c r="J112" s="3424"/>
      <c r="K112" s="3424"/>
      <c r="L112" s="3424"/>
      <c r="M112" s="3424"/>
      <c r="N112" s="3424"/>
      <c r="O112" s="3424"/>
      <c r="P112" s="3424"/>
      <c r="Q112" s="3424"/>
      <c r="R112" s="336"/>
      <c r="S112" s="336"/>
      <c r="T112" s="336"/>
      <c r="U112" s="336"/>
      <c r="V112" s="2242">
        <f>Hovedskema!F8/6</f>
        <v>0</v>
      </c>
      <c r="W112" s="336"/>
      <c r="X112" s="336"/>
      <c r="Y112" s="369"/>
      <c r="Z112" s="369"/>
      <c r="AA112" s="369"/>
      <c r="AB112" s="369"/>
      <c r="AC112" s="369"/>
    </row>
    <row r="113" spans="1:29" ht="17" thickBot="1">
      <c r="A113" s="1761"/>
      <c r="B113" s="3306" t="s">
        <v>189</v>
      </c>
      <c r="C113" s="3306"/>
      <c r="D113" s="3372"/>
      <c r="E113" s="1764">
        <f>'Lon pæd., TAP mm'!BA70</f>
        <v>0</v>
      </c>
      <c r="F113" s="3431">
        <f>SUM('Lon pæd., TAP mm'!X69:BA69)</f>
        <v>0</v>
      </c>
      <c r="G113" s="3431"/>
      <c r="H113" s="3432"/>
      <c r="I113" s="369"/>
      <c r="J113" s="3425"/>
      <c r="K113" s="3425"/>
      <c r="L113" s="3425"/>
      <c r="M113" s="3425"/>
      <c r="N113" s="3425"/>
      <c r="O113" s="3425"/>
      <c r="P113" s="3425"/>
      <c r="Q113" s="3425"/>
      <c r="R113" s="336"/>
      <c r="S113" s="336"/>
      <c r="T113" s="336"/>
      <c r="U113" s="336"/>
      <c r="V113" s="2242">
        <f>Hovedskema!F9/3</f>
        <v>0</v>
      </c>
      <c r="W113" s="336"/>
      <c r="X113" s="336"/>
      <c r="Y113" s="369"/>
      <c r="Z113" s="369"/>
      <c r="AA113" s="369"/>
      <c r="AB113" s="369"/>
      <c r="AC113" s="369"/>
    </row>
    <row r="114" spans="1:29" ht="17" thickBot="1">
      <c r="A114" s="1765"/>
      <c r="B114" s="3386" t="s">
        <v>832</v>
      </c>
      <c r="C114" s="3386"/>
      <c r="D114" s="3386"/>
      <c r="E114" s="910">
        <f>SUM(E111:E113)</f>
        <v>0</v>
      </c>
      <c r="F114" s="3324">
        <f>SUM(F111:F113)</f>
        <v>0</v>
      </c>
      <c r="G114" s="3324"/>
      <c r="H114" s="3324"/>
      <c r="I114" s="369"/>
      <c r="J114" s="3387" t="s">
        <v>826</v>
      </c>
      <c r="K114" s="3387"/>
      <c r="L114" s="3387"/>
      <c r="M114" s="3387"/>
      <c r="N114" s="3387"/>
      <c r="O114" s="3387"/>
      <c r="P114" s="3387"/>
      <c r="Q114" s="3387"/>
      <c r="R114" s="336"/>
      <c r="S114" s="336"/>
      <c r="T114" s="336"/>
      <c r="U114" s="336">
        <f>V112+V113</f>
        <v>0</v>
      </c>
      <c r="V114" s="2242">
        <f>U114+0.85</f>
        <v>0.85</v>
      </c>
      <c r="W114" s="336"/>
      <c r="X114" s="336"/>
      <c r="Y114" s="369"/>
      <c r="Z114" s="369"/>
      <c r="AA114" s="369"/>
      <c r="AB114" s="369"/>
    </row>
    <row r="115" spans="1:29" ht="17" customHeight="1" thickBot="1">
      <c r="A115" s="3290"/>
      <c r="B115" s="3291"/>
      <c r="C115" s="3291"/>
      <c r="D115" s="3291"/>
      <c r="E115" s="3291"/>
      <c r="F115" s="3291"/>
      <c r="G115" s="388"/>
      <c r="H115" s="388"/>
      <c r="I115" s="369"/>
      <c r="J115" s="3388" t="s">
        <v>1444</v>
      </c>
      <c r="K115" s="3388"/>
      <c r="L115" s="3388"/>
      <c r="M115" s="3388"/>
      <c r="N115" s="3388"/>
      <c r="O115" s="3388"/>
      <c r="P115" s="3388"/>
      <c r="Q115" s="2135">
        <f>V14+V23+V32</f>
        <v>0</v>
      </c>
      <c r="R115" s="336"/>
      <c r="S115" s="336"/>
      <c r="T115" s="336"/>
      <c r="U115" s="336"/>
      <c r="V115" s="2242"/>
      <c r="W115" s="336"/>
      <c r="X115" s="336"/>
      <c r="Y115" s="369"/>
      <c r="Z115" s="369"/>
      <c r="AA115" s="369"/>
      <c r="AB115" s="369"/>
    </row>
    <row r="116" spans="1:29" ht="30" customHeight="1" thickBot="1">
      <c r="A116" s="3429" t="s">
        <v>712</v>
      </c>
      <c r="B116" s="3430"/>
      <c r="C116" s="3430"/>
      <c r="D116" s="3430"/>
      <c r="E116" s="3430"/>
      <c r="F116" s="3415" t="str">
        <f>"Ændringer i "&amp;$E$117+1&amp;" i forhold til "&amp;$E$117&amp;""</f>
        <v>Ændringer i 2027 i forhold til 2026</v>
      </c>
      <c r="G116" s="3416"/>
      <c r="H116" s="3417"/>
      <c r="I116" s="369"/>
      <c r="J116" s="3389" t="s">
        <v>1445</v>
      </c>
      <c r="K116" s="3389"/>
      <c r="L116" s="3389"/>
      <c r="M116" s="3389"/>
      <c r="N116" s="3389"/>
      <c r="O116" s="3389"/>
      <c r="P116" s="3389"/>
      <c r="Q116" s="2135">
        <f>V67+V76+V85</f>
        <v>0</v>
      </c>
      <c r="R116" s="336"/>
      <c r="S116" s="336"/>
      <c r="T116" s="336"/>
      <c r="U116" s="336"/>
      <c r="V116" s="2242"/>
      <c r="W116" s="336"/>
      <c r="X116" s="336"/>
      <c r="Y116" s="369"/>
    </row>
    <row r="117" spans="1:29" ht="17" customHeight="1" thickBot="1">
      <c r="A117" s="1766" t="str">
        <f>A110</f>
        <v>Kto. nr.</v>
      </c>
      <c r="B117" s="3390" t="s">
        <v>833</v>
      </c>
      <c r="C117" s="3390"/>
      <c r="D117" s="3390"/>
      <c r="E117" s="1767">
        <f>budgetår</f>
        <v>2026</v>
      </c>
      <c r="F117" s="3418" t="s">
        <v>834</v>
      </c>
      <c r="G117" s="3419"/>
      <c r="H117" s="3420"/>
      <c r="I117" s="369"/>
      <c r="J117" s="3382" t="s">
        <v>831</v>
      </c>
      <c r="K117" s="3382"/>
      <c r="L117" s="3382"/>
      <c r="M117" s="3382"/>
      <c r="N117" s="3382"/>
      <c r="O117" s="3382"/>
      <c r="P117" s="3382"/>
      <c r="Q117" s="2098">
        <f>IF(E3&gt;0,Q115/6,0)+IF(E56&gt;0,Q116/3,0)</f>
        <v>0</v>
      </c>
      <c r="R117" s="336"/>
      <c r="S117" s="336"/>
      <c r="T117" s="336"/>
      <c r="U117" s="336"/>
      <c r="V117" s="2242"/>
      <c r="W117" s="336"/>
      <c r="X117" s="336"/>
    </row>
    <row r="118" spans="1:29" ht="22" customHeight="1" thickBot="1">
      <c r="A118" s="1768"/>
      <c r="B118" s="3377" t="s">
        <v>836</v>
      </c>
      <c r="C118" s="3377"/>
      <c r="D118" s="3378"/>
      <c r="E118" s="2472"/>
      <c r="F118" s="3316"/>
      <c r="G118" s="3317"/>
      <c r="H118" s="3318"/>
      <c r="I118" s="369"/>
      <c r="J118" s="3384" t="s">
        <v>1441</v>
      </c>
      <c r="K118" s="3384"/>
      <c r="L118" s="3384"/>
      <c r="M118" s="3384"/>
      <c r="N118" s="3384"/>
      <c r="O118" s="3384"/>
      <c r="P118" s="3384"/>
      <c r="Q118" s="3384"/>
      <c r="R118" s="336"/>
      <c r="S118" s="336"/>
      <c r="T118" s="336"/>
      <c r="U118" s="336"/>
      <c r="V118" s="2242"/>
      <c r="W118" s="336"/>
      <c r="X118" s="336"/>
    </row>
    <row r="119" spans="1:29" ht="18" customHeight="1">
      <c r="A119" s="1769"/>
      <c r="B119" s="3391" t="s">
        <v>838</v>
      </c>
      <c r="C119" s="3391"/>
      <c r="D119" s="3392"/>
      <c r="E119" s="2473"/>
      <c r="F119" s="3316"/>
      <c r="G119" s="3317"/>
      <c r="H119" s="3318"/>
      <c r="I119" s="369"/>
      <c r="J119" s="3234" t="s">
        <v>1555</v>
      </c>
      <c r="K119" s="3235"/>
      <c r="L119" s="3235"/>
      <c r="M119" s="3235"/>
      <c r="N119" s="3235"/>
      <c r="O119" s="3235"/>
      <c r="P119" s="3236"/>
      <c r="Q119" s="3242">
        <f>SUM('Lon pæd., TAP mm'!X120:Z120)</f>
        <v>0</v>
      </c>
      <c r="R119" s="336"/>
      <c r="S119" s="336"/>
      <c r="T119" s="336"/>
      <c r="U119" s="336"/>
      <c r="V119" s="2242"/>
      <c r="W119" s="336"/>
      <c r="X119" s="336"/>
    </row>
    <row r="120" spans="1:29" ht="16">
      <c r="A120" s="1769"/>
      <c r="B120" s="3391" t="s">
        <v>839</v>
      </c>
      <c r="C120" s="3391"/>
      <c r="D120" s="3392"/>
      <c r="E120" s="2473"/>
      <c r="F120" s="3316"/>
      <c r="G120" s="3317"/>
      <c r="H120" s="3318"/>
      <c r="I120" s="405"/>
      <c r="J120" s="3237"/>
      <c r="K120" s="2756"/>
      <c r="L120" s="2756"/>
      <c r="M120" s="2756"/>
      <c r="N120" s="2756"/>
      <c r="O120" s="2756"/>
      <c r="P120" s="3238"/>
      <c r="Q120" s="3243"/>
      <c r="R120" s="336"/>
      <c r="S120" s="336"/>
      <c r="T120" s="336"/>
      <c r="U120" s="336"/>
      <c r="V120" s="2242"/>
      <c r="W120" s="336"/>
      <c r="X120" s="336"/>
    </row>
    <row r="121" spans="1:29" ht="17" customHeight="1">
      <c r="A121" s="1769"/>
      <c r="B121" s="3391" t="s">
        <v>840</v>
      </c>
      <c r="C121" s="3391"/>
      <c r="D121" s="3392"/>
      <c r="E121" s="2474"/>
      <c r="F121" s="3316"/>
      <c r="G121" s="3317"/>
      <c r="H121" s="3318"/>
      <c r="I121" s="391"/>
      <c r="J121" s="3237"/>
      <c r="K121" s="2756"/>
      <c r="L121" s="2756"/>
      <c r="M121" s="2756"/>
      <c r="N121" s="2756"/>
      <c r="O121" s="2756"/>
      <c r="P121" s="3238"/>
      <c r="Q121" s="3243"/>
      <c r="R121" s="336"/>
      <c r="S121" s="336"/>
      <c r="T121" s="336"/>
      <c r="U121" s="336"/>
      <c r="V121" s="2242"/>
      <c r="W121" s="336"/>
      <c r="X121" s="336"/>
    </row>
    <row r="122" spans="1:29" ht="17" thickBot="1">
      <c r="A122" s="1769"/>
      <c r="B122" s="3391" t="s">
        <v>841</v>
      </c>
      <c r="C122" s="3391"/>
      <c r="D122" s="3392"/>
      <c r="E122" s="2475"/>
      <c r="F122" s="3316"/>
      <c r="G122" s="3317"/>
      <c r="H122" s="3318"/>
      <c r="I122" s="369"/>
      <c r="J122" s="3239"/>
      <c r="K122" s="3240"/>
      <c r="L122" s="3240"/>
      <c r="M122" s="3240"/>
      <c r="N122" s="3240"/>
      <c r="O122" s="3240"/>
      <c r="P122" s="3241"/>
      <c r="Q122" s="3244"/>
      <c r="R122" s="336"/>
      <c r="S122" s="336"/>
      <c r="T122" s="336"/>
      <c r="U122" s="336"/>
      <c r="V122" s="2242"/>
      <c r="W122" s="336"/>
      <c r="X122" s="336"/>
    </row>
    <row r="123" spans="1:29" ht="17" thickBot="1">
      <c r="A123" s="1769"/>
      <c r="B123" s="3391"/>
      <c r="C123" s="3391"/>
      <c r="D123" s="3392"/>
      <c r="E123" s="1772"/>
      <c r="F123" s="3316"/>
      <c r="G123" s="3317"/>
      <c r="H123" s="3318"/>
      <c r="I123" s="369"/>
      <c r="J123" s="3385" t="s">
        <v>1442</v>
      </c>
      <c r="K123" s="3385"/>
      <c r="L123" s="3385"/>
      <c r="M123" s="3385"/>
      <c r="N123" s="3385"/>
      <c r="O123" s="3385"/>
      <c r="P123" s="3385"/>
      <c r="Q123" s="2097">
        <f>SUM('Lon pæd., TAP mm'!AA120:AR120)</f>
        <v>0</v>
      </c>
      <c r="R123" s="336"/>
      <c r="S123" s="336"/>
      <c r="T123" s="336"/>
      <c r="U123" s="336"/>
      <c r="V123" s="2242"/>
      <c r="W123" s="336"/>
      <c r="X123" s="336"/>
    </row>
    <row r="124" spans="1:29" ht="17" thickBot="1">
      <c r="A124" s="1769"/>
      <c r="B124" s="3391"/>
      <c r="C124" s="3391"/>
      <c r="D124" s="3392"/>
      <c r="E124" s="1773"/>
      <c r="F124" s="3319"/>
      <c r="G124" s="3320"/>
      <c r="H124" s="3321"/>
      <c r="I124" s="369"/>
      <c r="J124" s="3385" t="s">
        <v>1461</v>
      </c>
      <c r="K124" s="3385"/>
      <c r="L124" s="3385"/>
      <c r="M124" s="3385"/>
      <c r="N124" s="3385"/>
      <c r="O124" s="3385"/>
      <c r="P124" s="3385"/>
      <c r="Q124" s="2097">
        <f>SUM('Lon pæd., TAP mm'!AR120:AU120)</f>
        <v>0</v>
      </c>
      <c r="R124" s="369"/>
      <c r="S124" s="369"/>
      <c r="T124" s="369"/>
      <c r="U124" s="2126"/>
      <c r="V124" s="2134"/>
      <c r="W124" s="369"/>
      <c r="X124" s="369"/>
    </row>
    <row r="125" spans="1:29" ht="17" thickBot="1">
      <c r="A125" s="1774"/>
      <c r="B125" s="911" t="s">
        <v>842</v>
      </c>
      <c r="C125" s="911"/>
      <c r="D125" s="912"/>
      <c r="E125" s="913">
        <f>SUM(E118:E124)</f>
        <v>0</v>
      </c>
      <c r="F125" s="3325">
        <f>SUM(F118:F124)</f>
        <v>0</v>
      </c>
      <c r="G125" s="3325"/>
      <c r="H125" s="3325"/>
      <c r="I125" s="369"/>
      <c r="J125" s="3385" t="s">
        <v>1462</v>
      </c>
      <c r="K125" s="3385"/>
      <c r="L125" s="3385"/>
      <c r="M125" s="3385"/>
      <c r="N125" s="3385"/>
      <c r="O125" s="3385"/>
      <c r="P125" s="3385"/>
      <c r="Q125" s="2099">
        <f>SUM('Lon pæd., TAP mm'!AV120:AY120)</f>
        <v>0</v>
      </c>
      <c r="R125" s="369"/>
      <c r="S125" s="369"/>
      <c r="T125" s="369"/>
      <c r="U125" s="2126"/>
      <c r="V125" s="2134"/>
      <c r="W125" s="369"/>
      <c r="X125" s="369"/>
    </row>
    <row r="126" spans="1:29" ht="20" customHeight="1" thickBot="1">
      <c r="A126" s="3290"/>
      <c r="B126" s="3291"/>
      <c r="C126" s="3291"/>
      <c r="D126" s="3291"/>
      <c r="E126" s="3291"/>
      <c r="F126" s="3291"/>
      <c r="G126" s="3291"/>
      <c r="H126" s="3291"/>
      <c r="I126" s="369"/>
      <c r="J126" s="3383" t="s">
        <v>1443</v>
      </c>
      <c r="K126" s="3383"/>
      <c r="L126" s="3383"/>
      <c r="M126" s="3383"/>
      <c r="N126" s="3383"/>
      <c r="O126" s="3383"/>
      <c r="P126" s="3383"/>
      <c r="Q126" s="2097">
        <f>SUM('Lon pæd., TAP mm'!AZ120:BA120)</f>
        <v>0</v>
      </c>
      <c r="R126" s="369"/>
      <c r="S126" s="369"/>
      <c r="T126" s="369"/>
      <c r="U126" s="2126"/>
      <c r="V126" s="2134"/>
      <c r="W126" s="369"/>
      <c r="X126" s="369"/>
    </row>
    <row r="127" spans="1:29" ht="17" thickBot="1">
      <c r="A127" s="1775" t="str">
        <f>A117</f>
        <v>Kto. nr.</v>
      </c>
      <c r="B127" s="3404" t="s">
        <v>843</v>
      </c>
      <c r="C127" s="3404"/>
      <c r="D127" s="3405"/>
      <c r="E127" s="1776">
        <f>budgetår</f>
        <v>2026</v>
      </c>
      <c r="F127" s="3313" t="s">
        <v>834</v>
      </c>
      <c r="G127" s="3314"/>
      <c r="H127" s="3315"/>
      <c r="I127" s="369"/>
      <c r="J127" s="3421" t="s">
        <v>1446</v>
      </c>
      <c r="K127" s="3422"/>
      <c r="L127" s="3422"/>
      <c r="M127" s="3422"/>
      <c r="N127" s="3422"/>
      <c r="O127" s="3422"/>
      <c r="P127" s="3423"/>
      <c r="Q127" s="2243"/>
      <c r="R127" s="369"/>
      <c r="S127" s="369"/>
      <c r="T127" s="369"/>
      <c r="U127" s="2126"/>
      <c r="V127" s="2134"/>
      <c r="W127" s="369"/>
      <c r="X127" s="369"/>
    </row>
    <row r="128" spans="1:29" ht="17" thickBot="1">
      <c r="A128" s="1726"/>
      <c r="B128" s="3336" t="s">
        <v>794</v>
      </c>
      <c r="C128" s="3336"/>
      <c r="D128" s="3340"/>
      <c r="E128" s="1777"/>
      <c r="F128" s="3316"/>
      <c r="G128" s="3317"/>
      <c r="H128" s="3318"/>
      <c r="I128" s="369"/>
      <c r="J128" s="3406" t="s">
        <v>1447</v>
      </c>
      <c r="K128" s="3406"/>
      <c r="L128" s="3406"/>
      <c r="M128" s="3406"/>
      <c r="N128" s="3406"/>
      <c r="O128" s="3406"/>
      <c r="P128" s="3406"/>
      <c r="Q128" s="3407"/>
      <c r="R128" s="369"/>
      <c r="S128" s="369"/>
      <c r="T128" s="369"/>
      <c r="U128" s="2126"/>
      <c r="V128" s="2134"/>
      <c r="W128" s="369"/>
      <c r="X128" s="369"/>
    </row>
    <row r="129" spans="1:24" ht="17" thickBot="1">
      <c r="A129" s="1726"/>
      <c r="B129" s="3336" t="s">
        <v>844</v>
      </c>
      <c r="C129" s="3336"/>
      <c r="D129" s="3340"/>
      <c r="E129" s="1777"/>
      <c r="F129" s="3316"/>
      <c r="G129" s="3317"/>
      <c r="H129" s="3318"/>
      <c r="I129" s="369"/>
      <c r="J129" s="3406"/>
      <c r="K129" s="3406"/>
      <c r="L129" s="3406"/>
      <c r="M129" s="3406"/>
      <c r="N129" s="3406"/>
      <c r="O129" s="3406"/>
      <c r="P129" s="3406"/>
      <c r="Q129" s="3407"/>
      <c r="R129" s="369"/>
      <c r="S129" s="369"/>
      <c r="T129" s="369"/>
      <c r="U129" s="2126"/>
      <c r="V129" s="2134"/>
      <c r="W129" s="369"/>
      <c r="X129" s="369"/>
    </row>
    <row r="130" spans="1:24" ht="17" thickBot="1">
      <c r="A130" s="1726"/>
      <c r="B130" s="3336" t="s">
        <v>845</v>
      </c>
      <c r="C130" s="3336"/>
      <c r="D130" s="3340"/>
      <c r="E130" s="1777"/>
      <c r="F130" s="3316"/>
      <c r="G130" s="3317"/>
      <c r="H130" s="3318"/>
      <c r="I130" s="369"/>
      <c r="J130" s="3382" t="s">
        <v>835</v>
      </c>
      <c r="K130" s="3382"/>
      <c r="L130" s="3382"/>
      <c r="M130" s="3382"/>
      <c r="N130" s="3382"/>
      <c r="O130" s="3382"/>
      <c r="P130" s="3382"/>
      <c r="Q130" s="2098">
        <f>SUM(Q119:Q129)</f>
        <v>0</v>
      </c>
      <c r="R130" s="3245" t="s">
        <v>1556</v>
      </c>
      <c r="S130" s="3246"/>
      <c r="T130" s="3246"/>
      <c r="U130" s="3246"/>
      <c r="V130" s="3246"/>
      <c r="W130" s="3246"/>
      <c r="X130" s="369"/>
    </row>
    <row r="131" spans="1:24" ht="17" thickBot="1">
      <c r="A131" s="1726"/>
      <c r="B131" s="3336"/>
      <c r="C131" s="3336"/>
      <c r="D131" s="3340"/>
      <c r="E131" s="1777"/>
      <c r="F131" s="3316"/>
      <c r="G131" s="3317"/>
      <c r="H131" s="3318"/>
      <c r="I131" s="369"/>
      <c r="J131" s="3408" t="s">
        <v>837</v>
      </c>
      <c r="K131" s="3408"/>
      <c r="L131" s="3408"/>
      <c r="M131" s="3408"/>
      <c r="N131" s="3408"/>
      <c r="O131" s="3408"/>
      <c r="P131" s="3408"/>
      <c r="Q131" s="2099" t="str">
        <f>IF(Q130&gt;Q117,"Ja","Nej")</f>
        <v>Nej</v>
      </c>
      <c r="R131" s="3245"/>
      <c r="S131" s="3246"/>
      <c r="T131" s="3246"/>
      <c r="U131" s="3246"/>
      <c r="V131" s="3246"/>
      <c r="W131" s="3246"/>
      <c r="X131" s="369"/>
    </row>
    <row r="132" spans="1:24" ht="16">
      <c r="A132" s="1726"/>
      <c r="B132" s="3336"/>
      <c r="C132" s="3336"/>
      <c r="D132" s="3340"/>
      <c r="E132" s="1777"/>
      <c r="F132" s="3316"/>
      <c r="G132" s="3317"/>
      <c r="H132" s="3318"/>
      <c r="I132" s="369"/>
      <c r="J132" s="369"/>
      <c r="K132" s="369"/>
      <c r="L132" s="369"/>
      <c r="M132" s="369"/>
      <c r="N132" s="369"/>
      <c r="O132" s="369"/>
      <c r="P132" s="369"/>
      <c r="Q132" s="369"/>
      <c r="R132" s="369"/>
      <c r="S132" s="369"/>
      <c r="T132" s="369"/>
      <c r="U132" s="2126"/>
      <c r="V132" s="2134"/>
      <c r="W132" s="369"/>
      <c r="X132" s="369"/>
    </row>
    <row r="133" spans="1:24" ht="16">
      <c r="A133" s="1726"/>
      <c r="B133" s="3336"/>
      <c r="C133" s="3336"/>
      <c r="D133" s="3340"/>
      <c r="E133" s="1777"/>
      <c r="F133" s="3316"/>
      <c r="G133" s="3317"/>
      <c r="H133" s="3318"/>
      <c r="I133" s="369"/>
      <c r="J133" s="369"/>
      <c r="K133" s="369"/>
      <c r="L133" s="369"/>
      <c r="M133" s="369"/>
      <c r="N133" s="369"/>
      <c r="O133" s="369"/>
      <c r="P133" s="369"/>
      <c r="Q133" s="369"/>
      <c r="R133" s="369"/>
      <c r="S133" s="369"/>
      <c r="T133" s="369"/>
      <c r="U133" s="2126"/>
      <c r="V133" s="2134"/>
      <c r="W133" s="369"/>
      <c r="X133" s="369"/>
    </row>
    <row r="134" spans="1:24" ht="16">
      <c r="A134" s="1726"/>
      <c r="B134" s="3336"/>
      <c r="C134" s="3336"/>
      <c r="D134" s="3340"/>
      <c r="E134" s="1777"/>
      <c r="F134" s="3316"/>
      <c r="G134" s="3317"/>
      <c r="H134" s="3318"/>
      <c r="I134" s="369"/>
      <c r="J134" s="369"/>
      <c r="K134" s="369"/>
      <c r="L134" s="369"/>
      <c r="M134" s="369"/>
      <c r="N134" s="369"/>
      <c r="O134" s="369"/>
      <c r="P134" s="369"/>
      <c r="Q134" s="369"/>
      <c r="R134" s="369"/>
      <c r="S134" s="369"/>
      <c r="T134" s="369"/>
      <c r="U134" s="2126"/>
      <c r="V134" s="2134"/>
      <c r="W134" s="369"/>
      <c r="X134" s="369"/>
    </row>
    <row r="135" spans="1:24" ht="15" customHeight="1" thickBot="1">
      <c r="A135" s="1726"/>
      <c r="B135" s="3336"/>
      <c r="C135" s="3336"/>
      <c r="D135" s="3340"/>
      <c r="E135" s="1777"/>
      <c r="F135" s="3319"/>
      <c r="G135" s="3320"/>
      <c r="H135" s="3321"/>
      <c r="I135" s="369"/>
      <c r="J135" s="369"/>
      <c r="K135" s="369"/>
      <c r="L135" s="369"/>
      <c r="M135" s="369"/>
      <c r="N135" s="369"/>
      <c r="O135" s="369"/>
      <c r="P135" s="369"/>
      <c r="Q135" s="369"/>
      <c r="R135" s="369"/>
      <c r="S135" s="369"/>
      <c r="T135" s="369"/>
      <c r="U135" s="2126"/>
      <c r="V135" s="2134"/>
      <c r="W135" s="369"/>
      <c r="X135" s="369"/>
    </row>
    <row r="136" spans="1:24" ht="17" thickBot="1">
      <c r="A136" s="1774"/>
      <c r="B136" s="911" t="s">
        <v>846</v>
      </c>
      <c r="C136" s="911"/>
      <c r="D136" s="911"/>
      <c r="E136" s="913">
        <f>SUM(E128:E135)</f>
        <v>0</v>
      </c>
      <c r="F136" s="3325">
        <f t="shared" ref="F136" si="6">SUM(F128:F135)</f>
        <v>0</v>
      </c>
      <c r="G136" s="3325"/>
      <c r="H136" s="3325"/>
      <c r="I136" s="369"/>
      <c r="J136" s="369"/>
      <c r="K136" s="369"/>
      <c r="L136" s="369"/>
      <c r="M136" s="369"/>
      <c r="N136" s="369"/>
      <c r="O136" s="369"/>
      <c r="P136" s="369"/>
      <c r="Q136" s="369"/>
      <c r="R136" s="369"/>
      <c r="S136" s="369"/>
      <c r="T136" s="369"/>
      <c r="U136" s="2126"/>
      <c r="V136" s="2134"/>
      <c r="W136" s="369"/>
      <c r="X136" s="369"/>
    </row>
    <row r="137" spans="1:24" ht="17" thickBot="1">
      <c r="A137" s="3290"/>
      <c r="B137" s="3291"/>
      <c r="C137" s="3291"/>
      <c r="D137" s="3291"/>
      <c r="E137" s="3291"/>
      <c r="F137" s="3291"/>
      <c r="G137" s="3291"/>
      <c r="H137" s="3291"/>
      <c r="I137" s="369"/>
      <c r="J137" s="405"/>
      <c r="K137" s="391"/>
      <c r="L137" s="369"/>
      <c r="M137" s="369"/>
      <c r="N137" s="369"/>
      <c r="O137" s="369"/>
      <c r="P137" s="369"/>
      <c r="Q137" s="369"/>
      <c r="R137" s="369"/>
      <c r="S137" s="369"/>
      <c r="T137" s="369"/>
      <c r="U137" s="2126"/>
      <c r="V137" s="2134"/>
      <c r="W137" s="369"/>
      <c r="X137" s="369"/>
    </row>
    <row r="138" spans="1:24" ht="16">
      <c r="A138" s="1775" t="str">
        <f>A127</f>
        <v>Kto. nr.</v>
      </c>
      <c r="B138" s="3308" t="s">
        <v>847</v>
      </c>
      <c r="C138" s="3308"/>
      <c r="D138" s="3394"/>
      <c r="E138" s="1778">
        <f>budgetår</f>
        <v>2026</v>
      </c>
      <c r="F138" s="3313" t="str">
        <f>F127</f>
        <v xml:space="preserve">Ændringer  </v>
      </c>
      <c r="G138" s="3314"/>
      <c r="H138" s="3315"/>
      <c r="I138" s="369"/>
      <c r="J138" s="391"/>
      <c r="K138" s="391"/>
      <c r="L138" s="369"/>
      <c r="M138" s="369"/>
      <c r="N138" s="369"/>
      <c r="O138" s="369"/>
      <c r="P138" s="369"/>
      <c r="Q138" s="369"/>
      <c r="R138" s="369"/>
      <c r="S138" s="369"/>
      <c r="T138" s="369"/>
      <c r="U138" s="2126"/>
      <c r="V138" s="2134"/>
      <c r="W138" s="369"/>
      <c r="X138" s="369"/>
    </row>
    <row r="139" spans="1:24" ht="16">
      <c r="A139" s="1726"/>
      <c r="B139" s="3326" t="s">
        <v>763</v>
      </c>
      <c r="C139" s="3326"/>
      <c r="D139" s="3326"/>
      <c r="E139" s="1779"/>
      <c r="F139" s="3316"/>
      <c r="G139" s="3317"/>
      <c r="H139" s="3318"/>
      <c r="I139" s="369"/>
      <c r="J139" s="369"/>
      <c r="K139" s="369"/>
      <c r="L139" s="369"/>
      <c r="M139" s="369"/>
      <c r="N139" s="369"/>
      <c r="O139" s="369"/>
      <c r="P139" s="369"/>
      <c r="Q139" s="369"/>
      <c r="R139" s="369"/>
      <c r="S139" s="369"/>
      <c r="T139" s="369"/>
      <c r="U139" s="2126"/>
      <c r="V139" s="2134"/>
      <c r="W139" s="369"/>
      <c r="X139" s="369"/>
    </row>
    <row r="140" spans="1:24" ht="16">
      <c r="A140" s="1726"/>
      <c r="B140" s="3341" t="s">
        <v>848</v>
      </c>
      <c r="C140" s="3341"/>
      <c r="D140" s="3341"/>
      <c r="E140" s="1779"/>
      <c r="F140" s="3316"/>
      <c r="G140" s="3317"/>
      <c r="H140" s="3318"/>
      <c r="I140" s="369"/>
      <c r="J140" s="369"/>
      <c r="K140" s="369"/>
      <c r="L140" s="369"/>
      <c r="M140" s="369"/>
      <c r="N140" s="369"/>
      <c r="O140" s="369"/>
      <c r="P140" s="369"/>
      <c r="Q140" s="369"/>
      <c r="R140" s="369"/>
      <c r="S140" s="369"/>
      <c r="T140" s="369"/>
      <c r="U140" s="2126"/>
      <c r="V140" s="2134"/>
      <c r="W140" s="369"/>
      <c r="X140" s="369"/>
    </row>
    <row r="141" spans="1:24" ht="16">
      <c r="A141" s="1726"/>
      <c r="B141" s="3343" t="s">
        <v>725</v>
      </c>
      <c r="C141" s="3343"/>
      <c r="D141" s="3343"/>
      <c r="E141" s="1779"/>
      <c r="F141" s="3316"/>
      <c r="G141" s="3317"/>
      <c r="H141" s="3318"/>
      <c r="I141" s="369"/>
      <c r="J141" s="369"/>
      <c r="K141" s="369"/>
      <c r="L141" s="369"/>
      <c r="M141" s="369"/>
      <c r="N141" s="369"/>
      <c r="O141" s="369"/>
      <c r="P141" s="369"/>
      <c r="Q141" s="369"/>
      <c r="R141" s="369"/>
      <c r="S141" s="369"/>
      <c r="T141" s="369"/>
      <c r="U141" s="2126"/>
      <c r="V141" s="2134"/>
      <c r="W141" s="369"/>
      <c r="X141" s="369"/>
    </row>
    <row r="142" spans="1:24" ht="16">
      <c r="A142" s="1726"/>
      <c r="B142" s="3336"/>
      <c r="C142" s="3336"/>
      <c r="D142" s="3336"/>
      <c r="E142" s="1779"/>
      <c r="F142" s="3316"/>
      <c r="G142" s="3317"/>
      <c r="H142" s="3318"/>
      <c r="I142" s="369"/>
      <c r="J142" s="369"/>
      <c r="K142" s="369"/>
      <c r="L142" s="369"/>
      <c r="M142" s="369"/>
      <c r="N142" s="369"/>
      <c r="O142" s="369"/>
      <c r="P142" s="369"/>
      <c r="Q142" s="369"/>
      <c r="R142" s="369"/>
      <c r="S142" s="369"/>
      <c r="T142" s="369"/>
      <c r="U142" s="2126"/>
      <c r="V142" s="2134"/>
      <c r="W142" s="369"/>
      <c r="X142" s="369"/>
    </row>
    <row r="143" spans="1:24" ht="16">
      <c r="A143" s="1726"/>
      <c r="B143" s="3336"/>
      <c r="C143" s="3336"/>
      <c r="D143" s="3336"/>
      <c r="E143" s="1779"/>
      <c r="F143" s="3316"/>
      <c r="G143" s="3317"/>
      <c r="H143" s="3318"/>
      <c r="I143" s="369"/>
      <c r="J143" s="369"/>
      <c r="K143" s="369"/>
      <c r="L143" s="369"/>
      <c r="M143" s="369"/>
      <c r="N143" s="369"/>
      <c r="O143" s="369"/>
      <c r="P143" s="369"/>
      <c r="Q143" s="369"/>
      <c r="R143" s="369"/>
      <c r="S143" s="369"/>
      <c r="T143" s="369"/>
      <c r="U143" s="2126"/>
      <c r="V143" s="2134"/>
      <c r="W143" s="369"/>
      <c r="X143" s="369"/>
    </row>
    <row r="144" spans="1:24" ht="16">
      <c r="A144" s="1726"/>
      <c r="B144" s="3336"/>
      <c r="C144" s="3336"/>
      <c r="D144" s="3336"/>
      <c r="E144" s="1779"/>
      <c r="F144" s="3316"/>
      <c r="G144" s="3317"/>
      <c r="H144" s="3318"/>
      <c r="I144" s="369"/>
      <c r="J144" s="369"/>
      <c r="K144" s="369"/>
      <c r="L144" s="369"/>
      <c r="M144" s="369"/>
      <c r="N144" s="369"/>
      <c r="O144" s="369"/>
      <c r="P144" s="369"/>
      <c r="Q144" s="369"/>
      <c r="R144" s="369"/>
      <c r="S144" s="369"/>
      <c r="T144" s="369"/>
      <c r="U144" s="2126"/>
      <c r="V144" s="2134"/>
      <c r="W144" s="369"/>
      <c r="X144" s="369"/>
    </row>
    <row r="145" spans="1:24" ht="17" thickBot="1">
      <c r="A145" s="1726"/>
      <c r="B145" s="3336"/>
      <c r="C145" s="3336"/>
      <c r="D145" s="3336"/>
      <c r="E145" s="1779"/>
      <c r="F145" s="3319"/>
      <c r="G145" s="3320"/>
      <c r="H145" s="3321"/>
      <c r="I145" s="369"/>
      <c r="J145" s="369"/>
      <c r="K145" s="369"/>
      <c r="L145" s="369"/>
      <c r="M145" s="369"/>
      <c r="N145" s="369"/>
      <c r="O145" s="369"/>
      <c r="P145" s="369"/>
      <c r="Q145" s="369"/>
      <c r="R145" s="369"/>
      <c r="S145" s="369"/>
      <c r="T145" s="369"/>
      <c r="U145" s="2126"/>
      <c r="V145" s="2134"/>
      <c r="W145" s="369"/>
      <c r="X145" s="369"/>
    </row>
    <row r="146" spans="1:24" ht="17" thickBot="1">
      <c r="A146" s="1774"/>
      <c r="B146" s="1780" t="s">
        <v>849</v>
      </c>
      <c r="C146" s="1780"/>
      <c r="D146" s="1781"/>
      <c r="E146" s="913">
        <f>SUM(E139:E145)</f>
        <v>0</v>
      </c>
      <c r="F146" s="3325">
        <f t="shared" ref="F146" si="7">SUM(F139:F145)</f>
        <v>0</v>
      </c>
      <c r="G146" s="3325"/>
      <c r="H146" s="3325"/>
      <c r="I146" s="369"/>
      <c r="J146" s="369"/>
      <c r="K146" s="369"/>
      <c r="L146" s="369"/>
      <c r="M146" s="369"/>
      <c r="N146" s="369"/>
      <c r="O146" s="369"/>
      <c r="P146" s="369"/>
      <c r="Q146" s="369"/>
      <c r="R146" s="369"/>
      <c r="S146" s="369"/>
      <c r="T146" s="369"/>
      <c r="U146" s="2126"/>
      <c r="V146" s="2134"/>
      <c r="W146" s="369"/>
      <c r="X146" s="369"/>
    </row>
    <row r="147" spans="1:24" ht="17" thickBot="1">
      <c r="A147" s="3290"/>
      <c r="B147" s="3291"/>
      <c r="C147" s="3291"/>
      <c r="D147" s="3291"/>
      <c r="E147" s="3291"/>
      <c r="F147" s="3291"/>
      <c r="G147" s="3291"/>
      <c r="H147" s="3291"/>
      <c r="I147" s="369"/>
      <c r="P147" s="369"/>
      <c r="Q147" s="369"/>
      <c r="R147" s="369"/>
      <c r="S147" s="369"/>
      <c r="T147" s="369"/>
      <c r="U147" s="2126"/>
      <c r="V147" s="2134"/>
      <c r="W147" s="369"/>
      <c r="X147" s="369"/>
    </row>
    <row r="148" spans="1:24" ht="16">
      <c r="A148" s="1775" t="str">
        <f>A138</f>
        <v>Kto. nr.</v>
      </c>
      <c r="B148" s="914" t="s">
        <v>850</v>
      </c>
      <c r="C148" s="914"/>
      <c r="D148" s="914"/>
      <c r="E148" s="1782">
        <f>budgetår</f>
        <v>2026</v>
      </c>
      <c r="F148" s="3313" t="str">
        <f>F138</f>
        <v xml:space="preserve">Ændringer  </v>
      </c>
      <c r="G148" s="3314"/>
      <c r="H148" s="3315"/>
      <c r="I148" s="369"/>
      <c r="P148" s="369"/>
      <c r="Q148" s="369"/>
      <c r="R148" s="369"/>
      <c r="S148" s="369"/>
      <c r="T148" s="369"/>
      <c r="U148" s="2126"/>
      <c r="V148" s="2134"/>
      <c r="W148" s="369"/>
      <c r="X148" s="369"/>
    </row>
    <row r="149" spans="1:24" ht="16">
      <c r="A149" s="1726"/>
      <c r="B149" s="3326"/>
      <c r="C149" s="3326"/>
      <c r="D149" s="3327"/>
      <c r="E149" s="1773"/>
      <c r="F149" s="3316"/>
      <c r="G149" s="3317"/>
      <c r="H149" s="3318"/>
      <c r="I149" s="369"/>
      <c r="P149" s="369"/>
      <c r="Q149" s="369"/>
      <c r="R149" s="369"/>
      <c r="S149" s="369"/>
      <c r="T149" s="369"/>
      <c r="U149" s="2126"/>
      <c r="V149" s="2134"/>
      <c r="W149" s="369"/>
      <c r="X149" s="369"/>
    </row>
    <row r="150" spans="1:24" ht="16">
      <c r="A150" s="1726"/>
      <c r="B150" s="3341"/>
      <c r="C150" s="3341"/>
      <c r="D150" s="3342"/>
      <c r="E150" s="1770"/>
      <c r="F150" s="3316"/>
      <c r="G150" s="3317"/>
      <c r="H150" s="3318"/>
      <c r="I150" s="369"/>
      <c r="P150" s="369"/>
      <c r="Q150" s="369"/>
      <c r="R150" s="369"/>
      <c r="S150" s="369"/>
      <c r="T150" s="369"/>
      <c r="U150" s="2126"/>
      <c r="V150" s="2134"/>
      <c r="W150" s="369"/>
      <c r="X150" s="369"/>
    </row>
    <row r="151" spans="1:24" ht="16">
      <c r="A151" s="1726"/>
      <c r="B151" s="3343"/>
      <c r="C151" s="3343"/>
      <c r="D151" s="3344"/>
      <c r="E151" s="1770"/>
      <c r="F151" s="3316"/>
      <c r="G151" s="3317"/>
      <c r="H151" s="3318"/>
      <c r="I151" s="369"/>
      <c r="P151" s="369"/>
      <c r="Q151" s="369"/>
      <c r="R151" s="369"/>
      <c r="S151" s="369"/>
      <c r="T151" s="369"/>
      <c r="U151" s="2126"/>
      <c r="V151" s="2134"/>
      <c r="W151" s="369"/>
      <c r="X151" s="369"/>
    </row>
    <row r="152" spans="1:24" ht="17" thickBot="1">
      <c r="A152" s="1726"/>
      <c r="B152" s="3336"/>
      <c r="C152" s="3336"/>
      <c r="D152" s="3337"/>
      <c r="E152" s="1770"/>
      <c r="F152" s="3319"/>
      <c r="G152" s="3320"/>
      <c r="H152" s="3321"/>
      <c r="I152" s="369"/>
      <c r="P152" s="369"/>
      <c r="Q152" s="369"/>
      <c r="R152" s="369"/>
      <c r="S152" s="369"/>
      <c r="T152" s="369"/>
      <c r="U152" s="2126"/>
      <c r="V152" s="2134"/>
      <c r="W152" s="369"/>
      <c r="X152" s="369"/>
    </row>
    <row r="153" spans="1:24" ht="17" thickBot="1">
      <c r="A153" s="1774"/>
      <c r="B153" s="1780" t="s">
        <v>851</v>
      </c>
      <c r="C153" s="1780"/>
      <c r="D153" s="1781"/>
      <c r="E153" s="913">
        <f>SUM(E149:E152)</f>
        <v>0</v>
      </c>
      <c r="F153" s="3325">
        <f t="shared" ref="F153" si="8">SUM(F149:F152)</f>
        <v>0</v>
      </c>
      <c r="G153" s="3325"/>
      <c r="H153" s="3325"/>
      <c r="I153" s="369"/>
      <c r="P153" s="369"/>
      <c r="Q153" s="369"/>
      <c r="R153" s="369"/>
      <c r="S153" s="369"/>
      <c r="T153" s="369"/>
      <c r="U153" s="2126"/>
      <c r="V153" s="2134"/>
      <c r="W153" s="369"/>
      <c r="X153" s="369"/>
    </row>
    <row r="154" spans="1:24" ht="17" thickBot="1">
      <c r="A154" s="3338"/>
      <c r="B154" s="3339"/>
      <c r="C154" s="3339"/>
      <c r="D154" s="3339"/>
      <c r="E154" s="3339"/>
      <c r="F154" s="3339"/>
      <c r="G154" s="3339"/>
      <c r="H154" s="3339"/>
      <c r="I154" s="369"/>
      <c r="P154" s="369"/>
      <c r="Q154" s="369"/>
      <c r="R154" s="369"/>
      <c r="S154" s="369"/>
      <c r="T154" s="369"/>
      <c r="U154" s="2126"/>
      <c r="V154" s="2134"/>
      <c r="W154" s="369"/>
      <c r="X154" s="369"/>
    </row>
    <row r="155" spans="1:24" ht="16">
      <c r="A155" s="1775" t="str">
        <f>A148</f>
        <v>Kto. nr.</v>
      </c>
      <c r="B155" s="3308" t="s">
        <v>852</v>
      </c>
      <c r="C155" s="3308"/>
      <c r="D155" s="3309"/>
      <c r="E155" s="1783">
        <f>budgetår</f>
        <v>2026</v>
      </c>
      <c r="F155" s="3313" t="str">
        <f>F148</f>
        <v xml:space="preserve">Ændringer  </v>
      </c>
      <c r="G155" s="3314"/>
      <c r="H155" s="3315"/>
      <c r="I155" s="369"/>
      <c r="P155" s="369"/>
      <c r="Q155" s="369"/>
      <c r="R155" s="369"/>
      <c r="S155" s="369"/>
      <c r="T155" s="369"/>
      <c r="U155" s="2126"/>
      <c r="V155" s="2134"/>
      <c r="W155" s="369"/>
      <c r="X155" s="369"/>
    </row>
    <row r="156" spans="1:24" ht="16">
      <c r="A156" s="1726"/>
      <c r="B156" s="3401" t="s">
        <v>853</v>
      </c>
      <c r="C156" s="3401"/>
      <c r="D156" s="3402"/>
      <c r="E156" s="1770"/>
      <c r="F156" s="3316"/>
      <c r="G156" s="3317"/>
      <c r="H156" s="3318"/>
      <c r="I156" s="369"/>
      <c r="P156" s="369"/>
      <c r="Q156" s="369"/>
      <c r="R156" s="369"/>
      <c r="S156" s="369"/>
      <c r="T156" s="369"/>
      <c r="U156" s="2126"/>
      <c r="V156" s="2134"/>
      <c r="W156" s="369"/>
      <c r="X156" s="369"/>
    </row>
    <row r="157" spans="1:24" ht="16">
      <c r="A157" s="1726"/>
      <c r="B157" s="3326" t="s">
        <v>854</v>
      </c>
      <c r="C157" s="3326"/>
      <c r="D157" s="3327"/>
      <c r="E157" s="622"/>
      <c r="F157" s="3316"/>
      <c r="G157" s="3317"/>
      <c r="H157" s="3318"/>
      <c r="I157" s="369"/>
      <c r="P157" s="369"/>
      <c r="Q157" s="369"/>
      <c r="R157" s="369"/>
      <c r="S157" s="369"/>
      <c r="T157" s="369"/>
      <c r="U157" s="2126"/>
      <c r="V157" s="2134"/>
      <c r="W157" s="369"/>
      <c r="X157" s="369"/>
    </row>
    <row r="158" spans="1:24" ht="16">
      <c r="A158" s="1726"/>
      <c r="B158" s="3326" t="s">
        <v>201</v>
      </c>
      <c r="C158" s="3326"/>
      <c r="D158" s="3327"/>
      <c r="E158" s="1784"/>
      <c r="F158" s="3316"/>
      <c r="G158" s="3317"/>
      <c r="H158" s="3318"/>
      <c r="I158" s="369"/>
      <c r="P158" s="369"/>
      <c r="Q158" s="369"/>
      <c r="R158" s="369"/>
      <c r="S158" s="369"/>
      <c r="T158" s="369"/>
      <c r="U158" s="2126"/>
      <c r="V158" s="2134"/>
      <c r="W158" s="369"/>
      <c r="X158" s="369"/>
    </row>
    <row r="159" spans="1:24" ht="16">
      <c r="A159" s="1726"/>
      <c r="B159" s="3326"/>
      <c r="C159" s="3326"/>
      <c r="D159" s="3327"/>
      <c r="E159" s="1779"/>
      <c r="F159" s="3316"/>
      <c r="G159" s="3317"/>
      <c r="H159" s="3318"/>
      <c r="I159" s="369"/>
      <c r="P159" s="369"/>
      <c r="Q159" s="369"/>
      <c r="R159" s="369"/>
      <c r="S159" s="369"/>
      <c r="T159" s="369"/>
      <c r="U159" s="2126"/>
      <c r="V159" s="2134"/>
      <c r="W159" s="369"/>
      <c r="X159" s="369"/>
    </row>
    <row r="160" spans="1:24" ht="16">
      <c r="A160" s="1726"/>
      <c r="B160" s="3326"/>
      <c r="C160" s="3326"/>
      <c r="D160" s="3327"/>
      <c r="E160" s="1785"/>
      <c r="F160" s="3316"/>
      <c r="G160" s="3317"/>
      <c r="H160" s="3318"/>
      <c r="I160" s="369"/>
      <c r="P160" s="369"/>
      <c r="Q160" s="369"/>
      <c r="R160" s="369"/>
      <c r="S160" s="369"/>
      <c r="T160" s="369"/>
      <c r="U160" s="2126"/>
      <c r="V160" s="2134"/>
      <c r="W160" s="369"/>
      <c r="X160" s="369"/>
    </row>
    <row r="161" spans="1:24" ht="16">
      <c r="A161" s="1726"/>
      <c r="B161" s="3397"/>
      <c r="C161" s="3397"/>
      <c r="D161" s="3398"/>
      <c r="E161" s="1779"/>
      <c r="F161" s="3316"/>
      <c r="G161" s="3317"/>
      <c r="H161" s="3318"/>
      <c r="I161" s="369"/>
      <c r="P161" s="369"/>
      <c r="Q161" s="369"/>
      <c r="R161" s="369"/>
      <c r="S161" s="369"/>
      <c r="T161" s="369"/>
      <c r="U161" s="2126"/>
      <c r="V161" s="2134"/>
      <c r="W161" s="369"/>
      <c r="X161" s="369"/>
    </row>
    <row r="162" spans="1:24" ht="16">
      <c r="A162" s="1726"/>
      <c r="B162" s="3399"/>
      <c r="C162" s="3399"/>
      <c r="D162" s="3400"/>
      <c r="E162" s="1786"/>
      <c r="F162" s="3316"/>
      <c r="G162" s="3317"/>
      <c r="H162" s="3318"/>
      <c r="I162" s="369"/>
      <c r="P162" s="369"/>
      <c r="Q162" s="369"/>
      <c r="R162" s="369"/>
      <c r="S162" s="369"/>
      <c r="T162" s="369"/>
      <c r="U162" s="2126"/>
      <c r="V162" s="2134"/>
      <c r="W162" s="369"/>
      <c r="X162" s="369"/>
    </row>
    <row r="163" spans="1:24" ht="16">
      <c r="A163" s="1726"/>
      <c r="B163" s="3377"/>
      <c r="C163" s="3377"/>
      <c r="D163" s="3378"/>
      <c r="E163" s="623"/>
      <c r="F163" s="3316"/>
      <c r="G163" s="3317"/>
      <c r="H163" s="3318"/>
      <c r="I163" s="369"/>
      <c r="P163" s="369"/>
      <c r="Q163" s="369"/>
      <c r="R163" s="369"/>
      <c r="S163" s="369"/>
      <c r="T163" s="369"/>
      <c r="U163" s="2126"/>
      <c r="V163" s="2134"/>
      <c r="W163" s="369"/>
      <c r="X163" s="369"/>
    </row>
    <row r="164" spans="1:24" ht="17" thickBot="1">
      <c r="A164" s="1726"/>
      <c r="B164" s="3334"/>
      <c r="C164" s="3334"/>
      <c r="D164" s="3335"/>
      <c r="E164" s="1771"/>
      <c r="F164" s="3319"/>
      <c r="G164" s="3320"/>
      <c r="H164" s="3321"/>
      <c r="I164" s="369"/>
      <c r="P164" s="369"/>
      <c r="Q164" s="369"/>
      <c r="R164" s="369"/>
      <c r="S164" s="369"/>
      <c r="T164" s="369"/>
      <c r="U164" s="2126"/>
      <c r="V164" s="2134"/>
      <c r="W164" s="369"/>
      <c r="X164" s="369"/>
    </row>
    <row r="165" spans="1:24" ht="17" thickBot="1">
      <c r="A165" s="1774"/>
      <c r="B165" s="1780" t="s">
        <v>855</v>
      </c>
      <c r="C165" s="1780"/>
      <c r="D165" s="1780"/>
      <c r="E165" s="1787">
        <f>SUM(E156:E164)</f>
        <v>0</v>
      </c>
      <c r="F165" s="3328">
        <f t="shared" ref="F165" si="9">SUM(F156:F164)</f>
        <v>0</v>
      </c>
      <c r="G165" s="3329"/>
      <c r="H165" s="3330"/>
      <c r="I165" s="369"/>
      <c r="P165" s="369"/>
      <c r="Q165" s="369"/>
      <c r="R165" s="369"/>
      <c r="S165" s="369"/>
      <c r="T165" s="369"/>
      <c r="U165" s="2126"/>
      <c r="V165" s="2134"/>
      <c r="W165" s="369"/>
      <c r="X165" s="369"/>
    </row>
    <row r="166" spans="1:24" ht="17" thickBot="1">
      <c r="A166" s="3290"/>
      <c r="B166" s="3291"/>
      <c r="C166" s="3291"/>
      <c r="D166" s="3291"/>
      <c r="E166" s="3291"/>
      <c r="F166" s="3291"/>
      <c r="G166" s="3291"/>
      <c r="H166" s="3291"/>
      <c r="I166" s="369"/>
      <c r="P166" s="369"/>
      <c r="Q166" s="369"/>
      <c r="R166" s="369"/>
      <c r="S166" s="369"/>
      <c r="T166" s="369"/>
      <c r="U166" s="2126"/>
      <c r="V166" s="2134"/>
      <c r="W166" s="369"/>
      <c r="X166" s="369"/>
    </row>
    <row r="167" spans="1:24" ht="16">
      <c r="A167" s="1775" t="str">
        <f>A155</f>
        <v>Kto. nr.</v>
      </c>
      <c r="B167" s="3308" t="s">
        <v>856</v>
      </c>
      <c r="C167" s="3308"/>
      <c r="D167" s="3309"/>
      <c r="E167" s="1783">
        <f>budgetår</f>
        <v>2026</v>
      </c>
      <c r="F167" s="3313" t="str">
        <f>F155</f>
        <v xml:space="preserve">Ændringer  </v>
      </c>
      <c r="G167" s="3314"/>
      <c r="H167" s="3315"/>
      <c r="I167" s="369"/>
      <c r="P167" s="369"/>
      <c r="Q167" s="369"/>
      <c r="R167" s="369"/>
      <c r="S167" s="369"/>
      <c r="T167" s="369"/>
      <c r="U167" s="2126"/>
      <c r="V167" s="2134"/>
      <c r="W167" s="369"/>
      <c r="X167" s="369"/>
    </row>
    <row r="168" spans="1:24" ht="16">
      <c r="A168" s="1726"/>
      <c r="B168" s="3401" t="s">
        <v>740</v>
      </c>
      <c r="C168" s="3401"/>
      <c r="D168" s="3402"/>
      <c r="E168" s="1770"/>
      <c r="F168" s="3316"/>
      <c r="G168" s="3317"/>
      <c r="H168" s="3318"/>
      <c r="I168" s="369"/>
      <c r="P168" s="369"/>
      <c r="Q168" s="369"/>
      <c r="R168" s="369"/>
      <c r="S168" s="369"/>
      <c r="T168" s="369"/>
      <c r="U168" s="2126"/>
      <c r="V168" s="2134"/>
      <c r="W168" s="369"/>
      <c r="X168" s="369"/>
    </row>
    <row r="169" spans="1:24" ht="16">
      <c r="A169" s="1726"/>
      <c r="B169" s="3326"/>
      <c r="C169" s="3326"/>
      <c r="D169" s="3327"/>
      <c r="E169" s="1788"/>
      <c r="F169" s="3316"/>
      <c r="G169" s="3317"/>
      <c r="H169" s="3318"/>
      <c r="I169" s="369"/>
      <c r="P169" s="369"/>
      <c r="Q169" s="369"/>
      <c r="R169" s="369"/>
      <c r="S169" s="369"/>
      <c r="T169" s="369"/>
      <c r="U169" s="2126"/>
      <c r="V169" s="2134"/>
      <c r="W169" s="369"/>
      <c r="X169" s="369"/>
    </row>
    <row r="170" spans="1:24" ht="17" thickBot="1">
      <c r="A170" s="1726"/>
      <c r="B170" s="3326"/>
      <c r="C170" s="3326"/>
      <c r="D170" s="3327"/>
      <c r="E170" s="1784"/>
      <c r="F170" s="3319"/>
      <c r="G170" s="3320"/>
      <c r="H170" s="3321"/>
      <c r="I170" s="369"/>
      <c r="P170" s="369"/>
      <c r="Q170" s="369"/>
      <c r="R170" s="369"/>
      <c r="S170" s="369"/>
      <c r="T170" s="369"/>
      <c r="U170" s="2126"/>
      <c r="V170" s="2134"/>
      <c r="W170" s="369"/>
      <c r="X170" s="369"/>
    </row>
    <row r="171" spans="1:24" ht="17" thickBot="1">
      <c r="A171" s="1774"/>
      <c r="B171" s="1780" t="s">
        <v>274</v>
      </c>
      <c r="C171" s="1780"/>
      <c r="D171" s="1780"/>
      <c r="E171" s="1787">
        <f>SUM(E168:E170)</f>
        <v>0</v>
      </c>
      <c r="F171" s="3328">
        <f t="shared" ref="F171" si="10">SUM(F168:F170)</f>
        <v>0</v>
      </c>
      <c r="G171" s="3329"/>
      <c r="H171" s="3330"/>
      <c r="I171" s="369"/>
      <c r="P171" s="369"/>
      <c r="Q171" s="369"/>
      <c r="R171" s="369"/>
      <c r="S171" s="369"/>
      <c r="T171" s="369"/>
      <c r="U171" s="2126"/>
      <c r="V171" s="2134"/>
      <c r="W171" s="369"/>
      <c r="X171" s="369"/>
    </row>
    <row r="172" spans="1:24" ht="17" thickBot="1">
      <c r="A172" s="3290"/>
      <c r="B172" s="3291"/>
      <c r="C172" s="3291"/>
      <c r="D172" s="3291"/>
      <c r="E172" s="3291"/>
      <c r="F172" s="3291"/>
      <c r="G172" s="3291"/>
      <c r="H172" s="3291"/>
      <c r="I172" s="369"/>
      <c r="P172" s="369"/>
      <c r="Q172" s="369"/>
      <c r="R172" s="369"/>
      <c r="S172" s="369"/>
      <c r="T172" s="369"/>
      <c r="U172" s="2126"/>
      <c r="V172" s="2134"/>
      <c r="W172" s="369"/>
      <c r="X172" s="369"/>
    </row>
    <row r="173" spans="1:24" ht="16">
      <c r="A173" s="1775" t="str">
        <f>A167</f>
        <v>Kto. nr.</v>
      </c>
      <c r="B173" s="914" t="s">
        <v>857</v>
      </c>
      <c r="C173" s="914"/>
      <c r="D173" s="914"/>
      <c r="E173" s="1782">
        <f>budgetår</f>
        <v>2026</v>
      </c>
      <c r="F173" s="3331" t="str">
        <f>F167</f>
        <v xml:space="preserve">Ændringer  </v>
      </c>
      <c r="G173" s="3332"/>
      <c r="H173" s="3333"/>
      <c r="I173" s="369"/>
      <c r="P173" s="369"/>
      <c r="Q173" s="369"/>
      <c r="R173" s="369"/>
      <c r="S173" s="369"/>
      <c r="T173" s="369"/>
      <c r="U173" s="2126"/>
      <c r="V173" s="2134"/>
      <c r="W173" s="369"/>
      <c r="X173" s="369"/>
    </row>
    <row r="174" spans="1:24" ht="15" customHeight="1">
      <c r="A174" s="1726"/>
      <c r="B174" s="3326" t="s">
        <v>744</v>
      </c>
      <c r="C174" s="3326"/>
      <c r="D174" s="3327"/>
      <c r="E174" s="1770"/>
      <c r="F174" s="3316"/>
      <c r="G174" s="3317"/>
      <c r="H174" s="3318"/>
      <c r="I174" s="369"/>
      <c r="P174" s="369"/>
      <c r="Q174" s="369"/>
      <c r="R174" s="369"/>
      <c r="S174" s="369"/>
      <c r="T174" s="369"/>
      <c r="U174" s="2126"/>
      <c r="V174" s="2134"/>
      <c r="W174" s="369"/>
      <c r="X174" s="369"/>
    </row>
    <row r="175" spans="1:24" ht="16">
      <c r="A175" s="1726"/>
      <c r="B175" s="3341" t="s">
        <v>745</v>
      </c>
      <c r="C175" s="3341"/>
      <c r="D175" s="3342"/>
      <c r="E175" s="1770"/>
      <c r="F175" s="3316"/>
      <c r="G175" s="3317"/>
      <c r="H175" s="3318"/>
      <c r="I175" s="369"/>
      <c r="P175" s="369"/>
      <c r="Q175" s="369"/>
      <c r="R175" s="369"/>
      <c r="S175" s="369"/>
      <c r="T175" s="369"/>
      <c r="U175" s="2126"/>
      <c r="V175" s="2134"/>
      <c r="W175" s="369"/>
      <c r="X175" s="369"/>
    </row>
    <row r="176" spans="1:24" ht="16">
      <c r="A176" s="1726"/>
      <c r="B176" s="3343" t="s">
        <v>746</v>
      </c>
      <c r="C176" s="3343"/>
      <c r="D176" s="3344"/>
      <c r="E176" s="1770"/>
      <c r="F176" s="3316"/>
      <c r="G176" s="3317"/>
      <c r="H176" s="3318"/>
      <c r="I176" s="369"/>
      <c r="P176" s="369"/>
      <c r="Q176" s="369"/>
      <c r="R176" s="369"/>
      <c r="S176" s="369"/>
      <c r="T176" s="369"/>
      <c r="U176" s="2126"/>
      <c r="V176" s="2134"/>
      <c r="W176" s="369"/>
      <c r="X176" s="369"/>
    </row>
    <row r="177" spans="1:24" ht="17" thickBot="1">
      <c r="A177" s="1726"/>
      <c r="B177" s="3336"/>
      <c r="C177" s="3336"/>
      <c r="D177" s="3337"/>
      <c r="E177" s="1770"/>
      <c r="F177" s="3319"/>
      <c r="G177" s="3320"/>
      <c r="H177" s="3321"/>
      <c r="I177" s="369"/>
      <c r="P177" s="369"/>
      <c r="Q177" s="369"/>
      <c r="R177" s="369"/>
      <c r="S177" s="369"/>
      <c r="T177" s="369"/>
      <c r="U177" s="2126"/>
      <c r="V177" s="2134"/>
      <c r="W177" s="369"/>
      <c r="X177" s="369"/>
    </row>
    <row r="178" spans="1:24" ht="17" thickBot="1">
      <c r="A178" s="1774"/>
      <c r="B178" s="1780" t="s">
        <v>858</v>
      </c>
      <c r="C178" s="1780"/>
      <c r="D178" s="1781"/>
      <c r="E178" s="913">
        <f>SUM(E174:E177)</f>
        <v>0</v>
      </c>
      <c r="F178" s="3325">
        <f t="shared" ref="F178" si="11">SUM(F174:F177)</f>
        <v>0</v>
      </c>
      <c r="G178" s="3325"/>
      <c r="H178" s="3325"/>
      <c r="I178" s="369"/>
      <c r="P178" s="369"/>
      <c r="Q178" s="369"/>
      <c r="R178" s="369"/>
      <c r="S178" s="369"/>
      <c r="T178" s="369"/>
      <c r="U178" s="2126"/>
      <c r="V178" s="2134"/>
      <c r="W178" s="369"/>
      <c r="X178" s="369"/>
    </row>
    <row r="179" spans="1:24" ht="17" thickBot="1">
      <c r="A179" s="3290"/>
      <c r="B179" s="3291"/>
      <c r="C179" s="3291"/>
      <c r="D179" s="3291"/>
      <c r="E179" s="3291"/>
      <c r="F179" s="3291"/>
      <c r="G179" s="3291"/>
      <c r="H179" s="3291"/>
      <c r="I179" s="369"/>
      <c r="J179" s="369"/>
      <c r="K179" s="369"/>
      <c r="L179" s="369"/>
      <c r="M179" s="369"/>
      <c r="N179" s="369"/>
      <c r="O179" s="369"/>
      <c r="P179" s="369"/>
      <c r="Q179" s="369"/>
      <c r="R179" s="369"/>
      <c r="S179" s="369"/>
      <c r="T179" s="369"/>
      <c r="U179" s="2126"/>
      <c r="V179" s="2134"/>
      <c r="W179" s="369"/>
      <c r="X179" s="369"/>
    </row>
    <row r="180" spans="1:24" ht="16">
      <c r="A180" s="1775" t="str">
        <f>A173</f>
        <v>Kto. nr.</v>
      </c>
      <c r="B180" s="914" t="s">
        <v>859</v>
      </c>
      <c r="C180" s="914"/>
      <c r="D180" s="914"/>
      <c r="E180" s="1782">
        <f>budgetår</f>
        <v>2026</v>
      </c>
      <c r="F180" s="3313" t="str">
        <f>F173</f>
        <v xml:space="preserve">Ændringer  </v>
      </c>
      <c r="G180" s="3314"/>
      <c r="H180" s="3315"/>
      <c r="I180" s="369"/>
      <c r="J180" s="369"/>
      <c r="K180" s="369"/>
      <c r="L180" s="369"/>
      <c r="M180" s="369"/>
      <c r="N180" s="369"/>
      <c r="O180" s="369"/>
      <c r="P180" s="369"/>
      <c r="Q180" s="369"/>
      <c r="R180" s="369"/>
      <c r="S180" s="369"/>
      <c r="T180" s="369"/>
      <c r="U180" s="2126"/>
      <c r="V180" s="2134"/>
      <c r="W180" s="369"/>
      <c r="X180" s="369"/>
    </row>
    <row r="181" spans="1:24" ht="16">
      <c r="A181" s="1726"/>
      <c r="B181" s="3326" t="s">
        <v>754</v>
      </c>
      <c r="C181" s="3326"/>
      <c r="D181" s="3327"/>
      <c r="E181" s="1770"/>
      <c r="F181" s="3316"/>
      <c r="G181" s="3317"/>
      <c r="H181" s="3318"/>
      <c r="I181" s="369"/>
      <c r="J181" s="369"/>
      <c r="K181" s="369"/>
      <c r="L181" s="369"/>
      <c r="M181" s="369"/>
      <c r="N181" s="369"/>
      <c r="O181" s="369"/>
      <c r="P181" s="369"/>
      <c r="Q181" s="369"/>
      <c r="R181" s="369"/>
      <c r="S181" s="369"/>
      <c r="T181" s="369"/>
      <c r="U181" s="2126"/>
      <c r="V181" s="2134"/>
      <c r="W181" s="369"/>
      <c r="X181" s="369"/>
    </row>
    <row r="182" spans="1:24" ht="16">
      <c r="A182" s="1726"/>
      <c r="B182" s="3341" t="s">
        <v>841</v>
      </c>
      <c r="C182" s="3341"/>
      <c r="D182" s="3342"/>
      <c r="E182" s="1770"/>
      <c r="F182" s="3316"/>
      <c r="G182" s="3317"/>
      <c r="H182" s="3318"/>
      <c r="I182" s="369"/>
      <c r="J182" s="369"/>
      <c r="K182" s="369"/>
      <c r="L182" s="369"/>
      <c r="M182" s="369"/>
      <c r="N182" s="369"/>
      <c r="O182" s="369"/>
      <c r="P182" s="369"/>
      <c r="Q182" s="369"/>
      <c r="R182" s="369"/>
      <c r="S182" s="369"/>
      <c r="T182" s="369"/>
      <c r="U182" s="2126"/>
      <c r="V182" s="2134"/>
      <c r="W182" s="369"/>
      <c r="X182" s="369"/>
    </row>
    <row r="183" spans="1:24" ht="16">
      <c r="A183" s="1726"/>
      <c r="B183" s="3343"/>
      <c r="C183" s="3343"/>
      <c r="D183" s="3344"/>
      <c r="E183" s="1770"/>
      <c r="F183" s="3316"/>
      <c r="G183" s="3317"/>
      <c r="H183" s="3318"/>
      <c r="I183" s="369"/>
      <c r="J183" s="369"/>
      <c r="K183" s="369"/>
      <c r="L183" s="369"/>
      <c r="M183" s="369"/>
      <c r="N183" s="369"/>
      <c r="O183" s="369"/>
      <c r="P183" s="369"/>
      <c r="Q183" s="369"/>
      <c r="R183" s="369"/>
      <c r="S183" s="369"/>
      <c r="T183" s="369"/>
      <c r="U183" s="2126"/>
      <c r="V183" s="2134"/>
      <c r="W183" s="369"/>
      <c r="X183" s="369"/>
    </row>
    <row r="184" spans="1:24" ht="17" thickBot="1">
      <c r="A184" s="1726"/>
      <c r="B184" s="3336"/>
      <c r="C184" s="3336"/>
      <c r="D184" s="3337"/>
      <c r="E184" s="1770"/>
      <c r="F184" s="3319"/>
      <c r="G184" s="3320"/>
      <c r="H184" s="3321"/>
      <c r="I184" s="369"/>
      <c r="J184" s="369"/>
      <c r="K184" s="369"/>
      <c r="L184" s="369"/>
      <c r="M184" s="369"/>
      <c r="N184" s="369"/>
      <c r="O184" s="369"/>
      <c r="P184" s="369"/>
      <c r="Q184" s="369"/>
      <c r="R184" s="369"/>
      <c r="S184" s="369"/>
      <c r="T184" s="369"/>
      <c r="U184" s="2126"/>
      <c r="V184" s="2134"/>
      <c r="W184" s="369"/>
      <c r="X184" s="369"/>
    </row>
    <row r="185" spans="1:24" ht="16">
      <c r="A185" s="1789"/>
      <c r="B185" s="1790" t="s">
        <v>860</v>
      </c>
      <c r="C185" s="1790"/>
      <c r="D185" s="1791"/>
      <c r="E185" s="1792">
        <f>SUM(E181:E184)</f>
        <v>0</v>
      </c>
      <c r="F185" s="3322">
        <f t="shared" ref="F185" si="12">SUM(F181:F184)</f>
        <v>0</v>
      </c>
      <c r="G185" s="3322"/>
      <c r="H185" s="3322"/>
      <c r="I185" s="369"/>
      <c r="J185" s="369"/>
      <c r="K185" s="369"/>
      <c r="L185" s="369"/>
      <c r="M185" s="369"/>
      <c r="N185" s="369"/>
      <c r="O185" s="369"/>
      <c r="P185" s="369"/>
      <c r="Q185" s="369"/>
      <c r="R185" s="369"/>
      <c r="S185" s="369"/>
      <c r="T185" s="369"/>
      <c r="U185" s="2126"/>
      <c r="V185" s="2134"/>
      <c r="W185" s="369"/>
      <c r="X185" s="369"/>
    </row>
    <row r="186" spans="1:24" ht="37" customHeight="1">
      <c r="A186" s="1789"/>
      <c r="B186" s="3395" t="s">
        <v>861</v>
      </c>
      <c r="C186" s="3395"/>
      <c r="D186" s="3396"/>
      <c r="E186" s="406"/>
      <c r="F186" s="3323">
        <f>E125+E136+E146+E153+E165+E178+E185+E171</f>
        <v>0</v>
      </c>
      <c r="G186" s="3323"/>
      <c r="H186" s="3323"/>
      <c r="I186" s="369"/>
      <c r="J186" s="369"/>
      <c r="K186" s="369"/>
      <c r="L186" s="369"/>
      <c r="M186" s="369"/>
      <c r="N186" s="369"/>
      <c r="O186" s="369"/>
      <c r="P186" s="369"/>
      <c r="Q186" s="369"/>
      <c r="R186" s="369"/>
      <c r="S186" s="369"/>
      <c r="T186" s="369"/>
      <c r="U186" s="2126"/>
      <c r="V186" s="2134"/>
      <c r="W186" s="369"/>
      <c r="X186" s="369"/>
    </row>
    <row r="187" spans="1:24" ht="22" customHeight="1" thickBot="1">
      <c r="A187" s="1789"/>
      <c r="B187" s="3375" t="s">
        <v>862</v>
      </c>
      <c r="C187" s="3376"/>
      <c r="D187" s="3376"/>
      <c r="E187" s="3376"/>
      <c r="F187" s="3324">
        <f>S37+T37+S45+S53+S90+T90+S98+S106-E114-F186</f>
        <v>0</v>
      </c>
      <c r="G187" s="3324"/>
      <c r="H187" s="3323"/>
      <c r="I187" s="369"/>
      <c r="J187" s="369"/>
      <c r="K187" s="369"/>
      <c r="L187" s="369"/>
      <c r="M187" s="369"/>
      <c r="N187" s="369"/>
      <c r="O187" s="369"/>
      <c r="P187" s="369"/>
      <c r="Q187" s="369"/>
      <c r="R187" s="369"/>
      <c r="S187" s="369"/>
      <c r="T187" s="369"/>
      <c r="U187" s="2126"/>
      <c r="V187" s="2134"/>
      <c r="W187" s="369"/>
      <c r="X187" s="369"/>
    </row>
    <row r="188" spans="1:24" ht="16">
      <c r="A188" s="1766" t="str">
        <f>A180</f>
        <v>Kto. nr.</v>
      </c>
      <c r="B188" s="3393" t="s">
        <v>863</v>
      </c>
      <c r="C188" s="3393"/>
      <c r="D188" s="3403"/>
      <c r="E188" s="1793">
        <f>budgetår</f>
        <v>2026</v>
      </c>
      <c r="F188" s="3301"/>
      <c r="G188" s="3296"/>
      <c r="H188" s="3297"/>
      <c r="I188" s="369"/>
      <c r="J188" s="369"/>
      <c r="K188" s="369"/>
      <c r="L188" s="369"/>
      <c r="M188" s="369"/>
      <c r="N188" s="369"/>
      <c r="O188" s="369"/>
      <c r="P188" s="369"/>
      <c r="Q188" s="369"/>
      <c r="R188" s="369"/>
      <c r="S188" s="369"/>
      <c r="T188" s="369"/>
      <c r="U188" s="2126"/>
      <c r="V188" s="2134"/>
      <c r="W188" s="369"/>
      <c r="X188" s="369"/>
    </row>
    <row r="189" spans="1:24" ht="16">
      <c r="A189" s="1769"/>
      <c r="B189" s="3393" t="s">
        <v>864</v>
      </c>
      <c r="C189" s="3393"/>
      <c r="D189" s="3393"/>
      <c r="E189" s="1794">
        <f>Ejendom!I9</f>
        <v>0</v>
      </c>
      <c r="F189" s="3301"/>
      <c r="G189" s="3296"/>
      <c r="H189" s="3297"/>
      <c r="I189" s="369"/>
      <c r="J189" s="369"/>
      <c r="K189" s="369"/>
      <c r="L189" s="369"/>
      <c r="M189" s="369"/>
      <c r="N189" s="369"/>
      <c r="O189" s="369"/>
      <c r="P189" s="369"/>
      <c r="Q189" s="369"/>
      <c r="R189" s="369"/>
      <c r="S189" s="369"/>
      <c r="T189" s="369"/>
      <c r="U189" s="2126"/>
      <c r="V189" s="2134"/>
      <c r="W189" s="369"/>
      <c r="X189" s="369"/>
    </row>
    <row r="190" spans="1:24" ht="16">
      <c r="A190" s="1769"/>
      <c r="B190" s="3286" t="s">
        <v>865</v>
      </c>
      <c r="C190" s="3286"/>
      <c r="D190" s="3287"/>
      <c r="E190" s="1795">
        <f>Ejendom!I97</f>
        <v>0</v>
      </c>
      <c r="F190" s="3301"/>
      <c r="G190" s="3296"/>
      <c r="H190" s="3297"/>
      <c r="I190" s="369"/>
      <c r="J190" s="369"/>
      <c r="K190" s="369"/>
      <c r="L190" s="369"/>
      <c r="M190" s="369"/>
      <c r="N190" s="369"/>
      <c r="O190" s="369"/>
      <c r="P190" s="369"/>
      <c r="Q190" s="369"/>
      <c r="R190" s="369"/>
      <c r="S190" s="369"/>
      <c r="T190" s="369"/>
      <c r="U190" s="2126"/>
      <c r="V190" s="2134"/>
      <c r="W190" s="369"/>
      <c r="X190" s="369"/>
    </row>
    <row r="191" spans="1:24" ht="17" thickBot="1">
      <c r="A191" s="1796"/>
      <c r="B191" s="3288" t="s">
        <v>866</v>
      </c>
      <c r="C191" s="3288"/>
      <c r="D191" s="3289"/>
      <c r="E191" s="1797">
        <f>Administration!I122</f>
        <v>0</v>
      </c>
      <c r="F191" s="3302"/>
      <c r="G191" s="3303"/>
      <c r="H191" s="3304"/>
      <c r="I191" s="369"/>
      <c r="J191" s="369"/>
      <c r="K191" s="369"/>
      <c r="L191" s="369"/>
      <c r="M191" s="369"/>
      <c r="N191" s="369"/>
      <c r="O191" s="369"/>
      <c r="P191" s="369"/>
      <c r="Q191" s="369"/>
      <c r="R191" s="369"/>
      <c r="S191" s="369"/>
      <c r="T191" s="369"/>
      <c r="U191" s="2126"/>
      <c r="V191" s="2134"/>
      <c r="W191" s="369"/>
      <c r="X191" s="369"/>
    </row>
    <row r="192" spans="1:24" ht="17" thickBot="1">
      <c r="A192" s="915"/>
      <c r="B192" s="911" t="s">
        <v>867</v>
      </c>
      <c r="C192" s="911"/>
      <c r="D192" s="911"/>
      <c r="E192" s="912"/>
      <c r="F192" s="3305">
        <f>SUM(E189:E191)</f>
        <v>0</v>
      </c>
      <c r="G192" s="3299"/>
      <c r="H192" s="3300"/>
      <c r="I192" s="369"/>
      <c r="J192" s="369"/>
      <c r="K192" s="369"/>
      <c r="L192" s="369"/>
      <c r="M192" s="369"/>
      <c r="N192" s="369"/>
      <c r="O192" s="369"/>
      <c r="P192" s="369"/>
      <c r="Q192" s="369"/>
      <c r="R192" s="369"/>
      <c r="S192" s="369"/>
      <c r="T192" s="369"/>
      <c r="U192" s="2126"/>
      <c r="V192" s="2134"/>
      <c r="W192" s="369"/>
      <c r="X192" s="369"/>
    </row>
    <row r="193" spans="1:35" ht="17" thickBot="1">
      <c r="A193" s="3290"/>
      <c r="B193" s="3291"/>
      <c r="C193" s="3291"/>
      <c r="D193" s="3291"/>
      <c r="E193" s="3291"/>
      <c r="F193" s="3291"/>
      <c r="G193" s="3291"/>
      <c r="H193" s="3291"/>
      <c r="I193" s="369"/>
      <c r="J193" s="369"/>
      <c r="K193" s="369"/>
      <c r="L193" s="369"/>
      <c r="M193" s="369"/>
      <c r="N193" s="369"/>
      <c r="O193" s="369"/>
      <c r="P193" s="369"/>
      <c r="Q193" s="369"/>
      <c r="R193" s="369"/>
      <c r="S193" s="369"/>
      <c r="T193" s="369"/>
      <c r="U193" s="2126"/>
      <c r="V193" s="2134"/>
      <c r="W193" s="369"/>
      <c r="X193" s="369"/>
    </row>
    <row r="194" spans="1:35" ht="16">
      <c r="A194" s="1775" t="str">
        <f>A180</f>
        <v>Kto. nr.</v>
      </c>
      <c r="B194" s="3308" t="s">
        <v>868</v>
      </c>
      <c r="C194" s="3308"/>
      <c r="D194" s="3309"/>
      <c r="E194" s="1798">
        <f>budgetår</f>
        <v>2026</v>
      </c>
      <c r="F194" s="3292"/>
      <c r="G194" s="3293"/>
      <c r="H194" s="3294"/>
      <c r="I194" s="369"/>
      <c r="J194" s="369"/>
      <c r="K194" s="369"/>
      <c r="L194" s="369"/>
      <c r="M194" s="369"/>
      <c r="N194" s="369"/>
      <c r="O194" s="369"/>
      <c r="P194" s="369"/>
      <c r="Q194" s="369"/>
      <c r="R194" s="369"/>
      <c r="S194" s="369"/>
      <c r="T194" s="369"/>
      <c r="U194" s="2126"/>
      <c r="V194" s="2134"/>
      <c r="W194" s="369"/>
      <c r="X194" s="369"/>
    </row>
    <row r="195" spans="1:35" ht="16">
      <c r="A195" s="1726"/>
      <c r="B195" s="3306" t="s">
        <v>869</v>
      </c>
      <c r="C195" s="3306"/>
      <c r="D195" s="3307"/>
      <c r="E195" s="1799">
        <f>SUM(Administration!I129:I132)</f>
        <v>0</v>
      </c>
      <c r="F195" s="3301"/>
      <c r="G195" s="3296"/>
      <c r="H195" s="3297"/>
      <c r="I195" s="369"/>
      <c r="J195" s="369"/>
      <c r="K195" s="369"/>
      <c r="L195" s="369"/>
      <c r="M195" s="369"/>
      <c r="N195" s="369"/>
      <c r="O195" s="369"/>
      <c r="P195" s="369"/>
      <c r="Q195" s="369"/>
      <c r="R195" s="369"/>
      <c r="S195" s="369"/>
      <c r="T195" s="369"/>
      <c r="U195" s="2126"/>
      <c r="V195" s="2134"/>
      <c r="W195" s="369"/>
      <c r="X195" s="369"/>
    </row>
    <row r="196" spans="1:35" ht="16">
      <c r="A196" s="1726"/>
      <c r="B196" s="3306" t="s">
        <v>870</v>
      </c>
      <c r="C196" s="3306"/>
      <c r="D196" s="3307"/>
      <c r="E196" s="1799">
        <f>Administration!I139</f>
        <v>0</v>
      </c>
      <c r="F196" s="3301"/>
      <c r="G196" s="3296"/>
      <c r="H196" s="3297"/>
      <c r="I196" s="369"/>
      <c r="J196" s="369"/>
      <c r="K196" s="369"/>
      <c r="L196" s="369"/>
      <c r="M196" s="369"/>
      <c r="N196" s="369"/>
      <c r="O196" s="369"/>
      <c r="P196" s="369"/>
      <c r="Q196" s="369"/>
      <c r="R196" s="369"/>
      <c r="S196" s="369"/>
      <c r="T196" s="369"/>
      <c r="U196" s="2126"/>
      <c r="V196" s="2134"/>
      <c r="W196" s="369"/>
      <c r="X196" s="369"/>
    </row>
    <row r="197" spans="1:35" ht="16">
      <c r="A197" s="1726"/>
      <c r="B197" s="3306" t="s">
        <v>871</v>
      </c>
      <c r="C197" s="3306"/>
      <c r="D197" s="3307"/>
      <c r="E197" s="1800">
        <f>Administration!I151</f>
        <v>0</v>
      </c>
      <c r="F197" s="3301"/>
      <c r="G197" s="3296"/>
      <c r="H197" s="3297"/>
      <c r="I197" s="369"/>
      <c r="J197" s="369"/>
      <c r="K197" s="369"/>
      <c r="L197" s="369"/>
      <c r="M197" s="369"/>
      <c r="N197" s="369"/>
      <c r="O197" s="369"/>
      <c r="P197" s="369"/>
      <c r="Q197" s="369"/>
      <c r="R197" s="369"/>
      <c r="S197" s="369"/>
      <c r="T197" s="369"/>
      <c r="U197" s="2126"/>
      <c r="V197" s="2134"/>
      <c r="W197" s="369"/>
      <c r="X197" s="369"/>
    </row>
    <row r="198" spans="1:35" ht="17" thickBot="1">
      <c r="A198" s="1774"/>
      <c r="B198" s="1801" t="s">
        <v>872</v>
      </c>
      <c r="C198" s="1801"/>
      <c r="D198" s="1801"/>
      <c r="E198" s="1802"/>
      <c r="F198" s="3305">
        <f>SUM(E195:E197)</f>
        <v>0</v>
      </c>
      <c r="G198" s="3299"/>
      <c r="H198" s="3300"/>
      <c r="I198" s="369"/>
      <c r="J198" s="369"/>
      <c r="K198" s="369"/>
      <c r="L198" s="369"/>
      <c r="M198" s="369"/>
      <c r="N198" s="369"/>
      <c r="O198" s="369"/>
      <c r="P198" s="369"/>
      <c r="Q198" s="369"/>
      <c r="R198" s="369"/>
      <c r="S198" s="369"/>
      <c r="T198" s="369"/>
      <c r="U198" s="2126"/>
      <c r="V198" s="2134"/>
      <c r="W198" s="369"/>
      <c r="X198" s="369"/>
    </row>
    <row r="199" spans="1:35" ht="17" thickBot="1">
      <c r="A199" s="3290"/>
      <c r="B199" s="3291"/>
      <c r="C199" s="3291"/>
      <c r="D199" s="3291"/>
      <c r="E199" s="3291"/>
      <c r="F199" s="3291"/>
      <c r="G199" s="3291"/>
      <c r="H199" s="3291"/>
      <c r="I199" s="369"/>
      <c r="J199" s="369"/>
      <c r="K199" s="369"/>
      <c r="L199" s="369"/>
      <c r="M199" s="369"/>
      <c r="N199" s="369"/>
      <c r="O199" s="369"/>
      <c r="P199" s="369"/>
      <c r="Q199" s="369"/>
      <c r="R199" s="369"/>
      <c r="S199" s="369"/>
      <c r="T199" s="369"/>
      <c r="U199" s="2126"/>
      <c r="V199" s="2134"/>
      <c r="W199" s="369"/>
      <c r="X199" s="369"/>
    </row>
    <row r="200" spans="1:35" ht="16">
      <c r="A200" s="1775" t="str">
        <f>A194</f>
        <v>Kto. nr.</v>
      </c>
      <c r="B200" s="3308" t="s">
        <v>873</v>
      </c>
      <c r="C200" s="3308"/>
      <c r="D200" s="3309"/>
      <c r="E200" s="1803">
        <f>budgetår</f>
        <v>2026</v>
      </c>
      <c r="F200" s="3292"/>
      <c r="G200" s="3293"/>
      <c r="H200" s="3294"/>
      <c r="I200" s="369"/>
      <c r="J200" s="369"/>
      <c r="K200" s="369"/>
      <c r="L200" s="369"/>
      <c r="M200" s="369"/>
      <c r="N200" s="369"/>
      <c r="O200" s="369"/>
      <c r="P200" s="369"/>
      <c r="Q200" s="369"/>
      <c r="R200" s="369"/>
      <c r="S200" s="369"/>
      <c r="T200" s="369"/>
      <c r="U200" s="2126"/>
      <c r="V200" s="2134"/>
      <c r="W200" s="369"/>
      <c r="X200" s="369"/>
    </row>
    <row r="201" spans="1:35" ht="34" customHeight="1">
      <c r="A201" s="1726"/>
      <c r="B201" s="3311" t="s">
        <v>874</v>
      </c>
      <c r="C201" s="3311"/>
      <c r="D201" s="3312"/>
      <c r="E201" s="1804"/>
      <c r="F201" s="3295"/>
      <c r="G201" s="3296"/>
      <c r="H201" s="3297"/>
      <c r="I201" s="369"/>
      <c r="J201" s="369"/>
      <c r="K201" s="369"/>
      <c r="L201" s="369"/>
      <c r="M201" s="369"/>
      <c r="N201" s="369"/>
      <c r="O201" s="369"/>
      <c r="P201" s="369"/>
      <c r="Q201" s="369"/>
      <c r="R201" s="369"/>
      <c r="S201" s="369"/>
      <c r="T201" s="369"/>
      <c r="U201" s="2126"/>
      <c r="V201" s="2134"/>
      <c r="W201" s="369"/>
      <c r="X201" s="369"/>
    </row>
    <row r="202" spans="1:35" ht="32" customHeight="1">
      <c r="A202" s="1726"/>
      <c r="B202" s="3310" t="s">
        <v>875</v>
      </c>
      <c r="C202" s="3311"/>
      <c r="D202" s="3312"/>
      <c r="E202" s="1805"/>
      <c r="F202" s="3295"/>
      <c r="G202" s="3296"/>
      <c r="H202" s="3297"/>
      <c r="I202" s="369"/>
      <c r="J202" s="369"/>
      <c r="K202" s="369"/>
      <c r="L202" s="369"/>
      <c r="M202" s="369"/>
      <c r="N202" s="369"/>
      <c r="O202" s="369"/>
      <c r="P202" s="369"/>
      <c r="Q202" s="369"/>
      <c r="R202" s="369"/>
      <c r="S202" s="369"/>
      <c r="T202" s="369"/>
      <c r="U202" s="2126"/>
      <c r="V202" s="2134"/>
      <c r="W202" s="369"/>
      <c r="X202" s="369"/>
    </row>
    <row r="203" spans="1:35" ht="31" customHeight="1">
      <c r="A203" s="1726"/>
      <c r="B203" s="3310" t="s">
        <v>876</v>
      </c>
      <c r="C203" s="3311"/>
      <c r="D203" s="3312"/>
      <c r="E203" s="1806"/>
      <c r="F203" s="3295"/>
      <c r="G203" s="3296"/>
      <c r="H203" s="3297"/>
      <c r="I203" s="369"/>
      <c r="J203" s="369"/>
      <c r="K203" s="369"/>
      <c r="L203" s="369"/>
      <c r="M203" s="369"/>
      <c r="N203" s="369"/>
      <c r="O203" s="369"/>
      <c r="P203" s="369"/>
      <c r="Q203" s="369"/>
      <c r="R203" s="369"/>
      <c r="S203" s="369"/>
      <c r="T203" s="369"/>
      <c r="U203" s="2126"/>
      <c r="V203" s="2134"/>
      <c r="W203" s="369"/>
      <c r="X203" s="369"/>
    </row>
    <row r="204" spans="1:35" ht="17" thickBot="1">
      <c r="A204" s="1774"/>
      <c r="B204" s="1801" t="s">
        <v>877</v>
      </c>
      <c r="C204" s="1801"/>
      <c r="D204" s="1802"/>
      <c r="E204" s="1807"/>
      <c r="F204" s="3298">
        <f>SUM(E201:E203)</f>
        <v>0</v>
      </c>
      <c r="G204" s="3299"/>
      <c r="H204" s="3300"/>
      <c r="I204" s="369"/>
      <c r="J204" s="369"/>
      <c r="K204" s="369"/>
      <c r="L204" s="369"/>
      <c r="M204" s="369"/>
      <c r="N204" s="369"/>
      <c r="O204" s="369"/>
      <c r="P204" s="369"/>
      <c r="Q204" s="369"/>
      <c r="R204" s="369"/>
      <c r="S204" s="369"/>
      <c r="T204" s="369"/>
      <c r="U204" s="2126"/>
      <c r="V204" s="2134"/>
      <c r="W204" s="369"/>
      <c r="X204" s="369"/>
    </row>
    <row r="205" spans="1:35" ht="17" thickBot="1">
      <c r="A205" s="3290"/>
      <c r="B205" s="3291"/>
      <c r="C205" s="3291"/>
      <c r="D205" s="3291"/>
      <c r="E205" s="3291"/>
      <c r="F205" s="3291"/>
      <c r="G205" s="3291"/>
      <c r="H205" s="3291"/>
      <c r="I205" s="369"/>
      <c r="J205" s="369"/>
      <c r="K205" s="369"/>
      <c r="L205" s="369"/>
      <c r="M205" s="369"/>
      <c r="N205" s="369"/>
      <c r="O205" s="369"/>
      <c r="P205" s="369"/>
      <c r="Q205" s="369"/>
      <c r="R205" s="369"/>
      <c r="S205" s="369"/>
      <c r="T205" s="369"/>
      <c r="U205" s="2126"/>
      <c r="V205" s="2134"/>
      <c r="W205" s="369"/>
      <c r="X205" s="369"/>
    </row>
    <row r="206" spans="1:35" ht="16">
      <c r="A206" s="1808"/>
      <c r="B206" s="916" t="s">
        <v>878</v>
      </c>
      <c r="C206" s="916"/>
      <c r="D206" s="916"/>
      <c r="E206" s="1809">
        <f>F204+F198+F192+F186+E114</f>
        <v>0</v>
      </c>
      <c r="F206" s="3264"/>
      <c r="G206" s="3264"/>
      <c r="H206" s="3265"/>
      <c r="I206" s="369"/>
      <c r="J206" s="369"/>
      <c r="K206" s="369"/>
      <c r="L206" s="369"/>
      <c r="M206" s="369"/>
      <c r="N206" s="369"/>
      <c r="O206" s="369"/>
      <c r="P206" s="369"/>
      <c r="Q206" s="369"/>
      <c r="R206" s="369"/>
      <c r="S206" s="369"/>
      <c r="T206" s="369"/>
      <c r="U206" s="2126"/>
      <c r="V206" s="2134"/>
      <c r="W206" s="369"/>
      <c r="X206" s="369"/>
    </row>
    <row r="207" spans="1:35" ht="17" thickBot="1">
      <c r="A207" s="1789"/>
      <c r="B207" s="911" t="s">
        <v>879</v>
      </c>
      <c r="C207" s="911"/>
      <c r="D207" s="917"/>
      <c r="E207" s="918">
        <f>S37+T37+S53+S90+T90+S98+S106-E206+S45</f>
        <v>0</v>
      </c>
      <c r="F207" s="3266"/>
      <c r="G207" s="3266"/>
      <c r="H207" s="3267"/>
      <c r="I207" s="369"/>
      <c r="J207" s="369"/>
      <c r="K207" s="369"/>
      <c r="L207" s="369"/>
      <c r="M207" s="369"/>
      <c r="N207" s="369"/>
      <c r="O207" s="369"/>
      <c r="P207" s="369"/>
      <c r="Q207" s="369"/>
      <c r="R207" s="369"/>
      <c r="S207" s="369"/>
      <c r="T207" s="369"/>
      <c r="U207" s="2126"/>
      <c r="V207" s="2134"/>
      <c r="W207" s="369"/>
      <c r="X207" s="369"/>
    </row>
    <row r="208" spans="1:35" ht="17" thickBot="1">
      <c r="A208" s="1810"/>
      <c r="B208" s="919" t="str">
        <f>"Ændring i "&amp;E200+1&amp;" i forhold til "&amp;E200&amp;" i alt:"</f>
        <v>Ændring i 2027 i forhold til 2026 i alt:</v>
      </c>
      <c r="C208" s="919"/>
      <c r="D208" s="919"/>
      <c r="E208" s="919"/>
      <c r="F208" s="3409">
        <f>SUM(F118:H124)+SUM(F128:H135)+SUM(F139:H145)+SUM(F149:H152)+SUM(F156:H164)+SUM(F168:H170)+SUM(F174:H177)+SUM(F181:H184)</f>
        <v>0</v>
      </c>
      <c r="G208" s="3410"/>
      <c r="H208" s="3411"/>
      <c r="I208" s="369"/>
      <c r="J208" s="369"/>
      <c r="K208" s="369"/>
      <c r="L208" s="369"/>
      <c r="M208" s="369"/>
      <c r="N208" s="369"/>
      <c r="O208" s="369"/>
      <c r="P208" s="369"/>
      <c r="Q208" s="369"/>
      <c r="R208" s="369"/>
      <c r="S208" s="369"/>
      <c r="T208" s="369"/>
      <c r="U208" s="2126"/>
      <c r="V208" s="2134"/>
      <c r="W208" s="369"/>
      <c r="X208" s="369"/>
      <c r="Y208" s="369"/>
      <c r="Z208" s="369"/>
      <c r="AA208" s="369"/>
      <c r="AB208" s="369"/>
      <c r="AC208" s="369"/>
      <c r="AD208" s="369"/>
      <c r="AE208" s="369"/>
      <c r="AF208" s="369"/>
      <c r="AG208" s="369"/>
      <c r="AH208" s="369"/>
      <c r="AI208" s="369"/>
    </row>
    <row r="209" spans="1:35" ht="16">
      <c r="A209" s="369"/>
      <c r="B209" s="369"/>
      <c r="C209" s="369"/>
      <c r="D209" s="369"/>
      <c r="E209" s="369"/>
      <c r="F209" s="369"/>
      <c r="G209" s="369"/>
      <c r="H209" s="369"/>
      <c r="I209" s="369"/>
      <c r="J209" s="369"/>
      <c r="K209" s="369"/>
      <c r="L209" s="369"/>
      <c r="M209" s="369"/>
      <c r="N209" s="369"/>
      <c r="O209" s="369"/>
      <c r="P209" s="369"/>
      <c r="Q209" s="369"/>
      <c r="R209" s="369"/>
      <c r="S209" s="369"/>
      <c r="T209" s="369"/>
      <c r="U209" s="2126"/>
      <c r="V209" s="2134"/>
      <c r="W209" s="369"/>
      <c r="X209" s="369"/>
      <c r="Y209" s="369"/>
      <c r="Z209" s="369"/>
      <c r="AA209" s="369"/>
      <c r="AB209" s="369"/>
      <c r="AC209" s="369"/>
      <c r="AD209" s="369"/>
      <c r="AE209" s="369"/>
      <c r="AF209" s="369"/>
      <c r="AG209" s="369"/>
      <c r="AH209" s="369"/>
      <c r="AI209" s="369"/>
    </row>
    <row r="210" spans="1:35" ht="16">
      <c r="A210" s="369"/>
      <c r="B210" s="369"/>
      <c r="C210" s="369"/>
      <c r="D210" s="369"/>
      <c r="E210" s="369"/>
      <c r="F210" s="369"/>
      <c r="G210" s="369"/>
      <c r="H210" s="369"/>
      <c r="I210" s="369"/>
      <c r="J210" s="369"/>
      <c r="K210" s="369"/>
      <c r="L210" s="369"/>
      <c r="M210" s="369"/>
      <c r="N210" s="369"/>
      <c r="O210" s="369"/>
      <c r="P210" s="369"/>
      <c r="Q210" s="369"/>
      <c r="R210" s="369"/>
      <c r="S210" s="369"/>
      <c r="T210" s="369"/>
      <c r="U210" s="2126"/>
      <c r="V210" s="2134"/>
      <c r="W210" s="369"/>
      <c r="X210" s="369"/>
      <c r="Y210" s="369"/>
      <c r="Z210" s="369"/>
      <c r="AA210" s="369"/>
      <c r="AB210" s="369"/>
      <c r="AC210" s="369"/>
      <c r="AD210" s="369"/>
      <c r="AE210" s="369"/>
      <c r="AF210" s="369"/>
      <c r="AG210" s="369"/>
      <c r="AH210" s="369"/>
      <c r="AI210" s="369"/>
    </row>
    <row r="211" spans="1:35" ht="16">
      <c r="A211" s="369"/>
      <c r="B211" s="369"/>
      <c r="C211" s="369"/>
      <c r="D211" s="369"/>
      <c r="E211" s="369"/>
      <c r="F211" s="369"/>
      <c r="G211" s="369"/>
      <c r="H211" s="369"/>
      <c r="I211" s="369"/>
      <c r="J211" s="369"/>
      <c r="K211" s="369"/>
      <c r="L211" s="369"/>
      <c r="M211" s="369"/>
      <c r="N211" s="369"/>
      <c r="O211" s="369"/>
      <c r="P211" s="369"/>
      <c r="Q211" s="369"/>
      <c r="R211" s="369"/>
      <c r="S211" s="369"/>
      <c r="T211" s="369"/>
      <c r="U211" s="2126"/>
      <c r="V211" s="2134"/>
      <c r="W211" s="369"/>
      <c r="X211" s="369"/>
      <c r="Y211" s="369"/>
      <c r="Z211" s="369"/>
      <c r="AA211" s="369"/>
      <c r="AB211" s="369"/>
      <c r="AC211" s="369"/>
      <c r="AD211" s="369"/>
      <c r="AE211" s="369"/>
      <c r="AF211" s="369"/>
      <c r="AG211" s="369"/>
      <c r="AH211" s="369"/>
      <c r="AI211" s="369"/>
    </row>
    <row r="212" spans="1:35" ht="16">
      <c r="A212" s="369"/>
      <c r="B212" s="369"/>
      <c r="C212" s="369"/>
      <c r="D212" s="369"/>
      <c r="E212" s="369"/>
      <c r="F212" s="369"/>
      <c r="G212" s="369"/>
      <c r="H212" s="369"/>
      <c r="I212" s="369"/>
      <c r="J212" s="369"/>
      <c r="K212" s="369"/>
      <c r="L212" s="369"/>
      <c r="M212" s="369"/>
      <c r="N212" s="369"/>
      <c r="O212" s="369"/>
      <c r="P212" s="369"/>
      <c r="Q212" s="369"/>
      <c r="R212" s="369"/>
      <c r="S212" s="369"/>
      <c r="T212" s="369"/>
      <c r="U212" s="2126"/>
      <c r="V212" s="2134"/>
      <c r="W212" s="369"/>
      <c r="X212" s="369"/>
      <c r="Y212" s="369"/>
      <c r="Z212" s="369"/>
      <c r="AA212" s="369"/>
      <c r="AB212" s="369"/>
      <c r="AC212" s="369"/>
      <c r="AD212" s="369"/>
      <c r="AE212" s="369"/>
      <c r="AF212" s="369"/>
      <c r="AG212" s="369"/>
      <c r="AH212" s="369"/>
      <c r="AI212" s="369"/>
    </row>
    <row r="213" spans="1:35" ht="16">
      <c r="A213" s="369"/>
      <c r="B213" s="369"/>
      <c r="C213" s="369"/>
      <c r="D213" s="369"/>
      <c r="E213" s="369"/>
      <c r="F213" s="369"/>
      <c r="G213" s="369"/>
      <c r="H213" s="369"/>
      <c r="I213" s="369"/>
      <c r="J213" s="369"/>
      <c r="K213" s="369"/>
      <c r="L213" s="369"/>
      <c r="M213" s="369"/>
      <c r="N213" s="369"/>
      <c r="O213" s="369"/>
      <c r="P213" s="369"/>
      <c r="Q213" s="369"/>
      <c r="R213" s="369"/>
      <c r="S213" s="369"/>
      <c r="T213" s="369"/>
      <c r="U213" s="2126"/>
      <c r="V213" s="2134"/>
      <c r="W213" s="369"/>
      <c r="X213" s="369"/>
      <c r="Y213" s="369"/>
      <c r="Z213" s="369"/>
      <c r="AA213" s="369"/>
      <c r="AB213" s="369"/>
      <c r="AC213" s="369"/>
      <c r="AD213" s="369"/>
      <c r="AE213" s="369"/>
      <c r="AF213" s="369"/>
      <c r="AG213" s="369"/>
      <c r="AH213" s="369"/>
      <c r="AI213" s="369"/>
    </row>
    <row r="214" spans="1:35" ht="16">
      <c r="A214" s="369"/>
      <c r="B214" s="369"/>
      <c r="C214" s="369"/>
      <c r="D214" s="369"/>
      <c r="E214" s="369"/>
      <c r="F214" s="369"/>
      <c r="G214" s="369"/>
      <c r="H214" s="369"/>
      <c r="I214" s="369"/>
      <c r="J214" s="369"/>
      <c r="K214" s="369"/>
      <c r="L214" s="369"/>
      <c r="M214" s="369"/>
      <c r="N214" s="369"/>
      <c r="O214" s="369"/>
      <c r="P214" s="369"/>
      <c r="Q214" s="369"/>
      <c r="R214" s="369"/>
      <c r="S214" s="369"/>
      <c r="T214" s="369"/>
      <c r="U214" s="2126"/>
      <c r="V214" s="2134"/>
      <c r="W214" s="369"/>
      <c r="X214" s="369"/>
      <c r="Y214" s="369"/>
      <c r="Z214" s="369"/>
      <c r="AA214" s="369"/>
      <c r="AB214" s="369"/>
      <c r="AC214" s="369"/>
      <c r="AD214" s="369"/>
      <c r="AE214" s="369"/>
      <c r="AF214" s="369"/>
      <c r="AG214" s="369"/>
      <c r="AH214" s="369"/>
      <c r="AI214" s="369"/>
    </row>
    <row r="215" spans="1:35" ht="16">
      <c r="A215" s="369"/>
      <c r="B215" s="369"/>
      <c r="C215" s="369"/>
      <c r="D215" s="369"/>
      <c r="E215" s="369"/>
      <c r="F215" s="369"/>
      <c r="G215" s="369"/>
      <c r="H215" s="369"/>
      <c r="I215" s="369"/>
      <c r="J215" s="369"/>
      <c r="K215" s="369"/>
      <c r="L215" s="369"/>
      <c r="M215" s="369"/>
      <c r="N215" s="369"/>
      <c r="O215" s="369"/>
      <c r="P215" s="369"/>
      <c r="Q215" s="369"/>
      <c r="R215" s="369"/>
      <c r="S215" s="369"/>
      <c r="T215" s="369"/>
      <c r="U215" s="2126"/>
      <c r="V215" s="2134"/>
      <c r="W215" s="369"/>
      <c r="X215" s="369"/>
      <c r="Y215" s="369"/>
      <c r="Z215" s="369"/>
      <c r="AA215" s="369"/>
      <c r="AB215" s="369"/>
      <c r="AC215" s="369"/>
      <c r="AD215" s="369"/>
      <c r="AE215" s="369"/>
      <c r="AF215" s="369"/>
      <c r="AG215" s="369"/>
      <c r="AH215" s="369"/>
      <c r="AI215" s="369"/>
    </row>
    <row r="216" spans="1:35" ht="16">
      <c r="A216" s="369"/>
      <c r="B216" s="369"/>
      <c r="C216" s="369"/>
      <c r="D216" s="369"/>
      <c r="E216" s="369"/>
      <c r="F216" s="369"/>
      <c r="G216" s="369"/>
      <c r="H216" s="369"/>
      <c r="I216" s="369"/>
      <c r="J216" s="369"/>
      <c r="K216" s="369"/>
      <c r="L216" s="369"/>
      <c r="M216" s="369"/>
      <c r="N216" s="369"/>
      <c r="O216" s="369"/>
      <c r="P216" s="369"/>
      <c r="Q216" s="369"/>
      <c r="R216" s="369"/>
      <c r="S216" s="369"/>
      <c r="T216" s="369"/>
      <c r="U216" s="2126"/>
      <c r="V216" s="2134"/>
      <c r="W216" s="369"/>
      <c r="X216" s="369"/>
      <c r="Y216" s="369"/>
      <c r="Z216" s="369"/>
      <c r="AA216" s="369"/>
      <c r="AB216" s="369"/>
      <c r="AC216" s="369"/>
      <c r="AD216" s="369"/>
      <c r="AE216" s="369"/>
      <c r="AF216" s="369"/>
      <c r="AG216" s="369"/>
      <c r="AH216" s="369"/>
      <c r="AI216" s="369"/>
    </row>
    <row r="217" spans="1:35" ht="16">
      <c r="A217" s="369"/>
      <c r="B217" s="369"/>
      <c r="C217" s="369"/>
      <c r="D217" s="369"/>
      <c r="E217" s="369"/>
      <c r="F217" s="369"/>
      <c r="G217" s="369"/>
      <c r="H217" s="369"/>
      <c r="I217" s="369"/>
      <c r="J217" s="369"/>
      <c r="K217" s="369"/>
      <c r="L217" s="369"/>
      <c r="M217" s="369"/>
      <c r="N217" s="369"/>
      <c r="O217" s="369"/>
      <c r="P217" s="369"/>
      <c r="Q217" s="369"/>
      <c r="R217" s="369"/>
      <c r="S217" s="369"/>
      <c r="T217" s="369"/>
      <c r="U217" s="2126"/>
      <c r="V217" s="2134"/>
      <c r="W217" s="369"/>
      <c r="X217" s="369"/>
      <c r="Y217" s="369"/>
      <c r="Z217" s="369"/>
      <c r="AA217" s="369"/>
      <c r="AB217" s="369"/>
      <c r="AC217" s="369"/>
      <c r="AD217" s="369"/>
      <c r="AE217" s="369"/>
      <c r="AF217" s="369"/>
      <c r="AG217" s="369"/>
      <c r="AH217" s="369"/>
      <c r="AI217" s="369"/>
    </row>
    <row r="218" spans="1:35" ht="16">
      <c r="A218" s="369"/>
      <c r="B218" s="369"/>
      <c r="C218" s="369"/>
      <c r="D218" s="369"/>
      <c r="E218" s="369"/>
      <c r="F218" s="369"/>
      <c r="G218" s="369"/>
      <c r="H218" s="369"/>
      <c r="I218" s="369"/>
      <c r="J218" s="369"/>
      <c r="K218" s="369"/>
      <c r="L218" s="369"/>
      <c r="M218" s="369"/>
      <c r="N218" s="369"/>
      <c r="O218" s="369"/>
      <c r="P218" s="369"/>
      <c r="Q218" s="369"/>
      <c r="R218" s="369"/>
      <c r="S218" s="369"/>
      <c r="T218" s="369"/>
      <c r="U218" s="2126"/>
      <c r="V218" s="2134"/>
      <c r="W218" s="369"/>
      <c r="X218" s="369"/>
      <c r="Y218" s="369"/>
      <c r="Z218" s="369"/>
      <c r="AA218" s="369"/>
      <c r="AB218" s="369"/>
      <c r="AC218" s="369"/>
      <c r="AD218" s="369"/>
      <c r="AE218" s="369"/>
      <c r="AF218" s="369"/>
      <c r="AG218" s="369"/>
      <c r="AH218" s="369"/>
      <c r="AI218" s="369"/>
    </row>
    <row r="219" spans="1:35" ht="16">
      <c r="A219" s="369"/>
      <c r="B219" s="369"/>
      <c r="C219" s="369"/>
      <c r="D219" s="369"/>
      <c r="E219" s="369"/>
      <c r="F219" s="369"/>
      <c r="G219" s="369"/>
      <c r="H219" s="369"/>
      <c r="I219" s="369"/>
      <c r="J219" s="369"/>
      <c r="K219" s="369"/>
      <c r="L219" s="369"/>
      <c r="M219" s="369"/>
      <c r="N219" s="369"/>
      <c r="O219" s="369"/>
      <c r="P219" s="369"/>
      <c r="Q219" s="369"/>
      <c r="R219" s="369"/>
      <c r="S219" s="369"/>
      <c r="T219" s="369"/>
      <c r="U219" s="2126"/>
      <c r="V219" s="2134"/>
      <c r="W219" s="369"/>
      <c r="X219" s="369"/>
      <c r="Y219" s="369"/>
      <c r="Z219" s="369"/>
      <c r="AA219" s="369"/>
      <c r="AB219" s="369"/>
      <c r="AC219" s="369"/>
      <c r="AD219" s="369"/>
      <c r="AE219" s="369"/>
      <c r="AF219" s="369"/>
      <c r="AG219" s="369"/>
      <c r="AH219" s="369"/>
      <c r="AI219" s="369"/>
    </row>
    <row r="220" spans="1:35" ht="16">
      <c r="A220" s="369"/>
      <c r="B220" s="369"/>
      <c r="C220" s="369"/>
      <c r="D220" s="369"/>
      <c r="E220" s="369"/>
      <c r="F220" s="369"/>
      <c r="G220" s="369"/>
      <c r="H220" s="369"/>
      <c r="I220" s="369"/>
      <c r="J220" s="369"/>
      <c r="K220" s="369"/>
      <c r="L220" s="369"/>
      <c r="M220" s="369"/>
      <c r="N220" s="369"/>
      <c r="O220" s="369"/>
      <c r="P220" s="369"/>
      <c r="Q220" s="369"/>
      <c r="R220" s="369"/>
      <c r="S220" s="369"/>
      <c r="T220" s="369"/>
      <c r="U220" s="2126"/>
      <c r="V220" s="2134"/>
      <c r="W220" s="369"/>
      <c r="X220" s="369"/>
      <c r="Y220" s="369"/>
      <c r="Z220" s="369"/>
      <c r="AA220" s="369"/>
      <c r="AB220" s="369"/>
      <c r="AC220" s="369"/>
      <c r="AD220" s="369"/>
      <c r="AE220" s="369"/>
      <c r="AF220" s="369"/>
      <c r="AG220" s="369"/>
      <c r="AH220" s="369"/>
      <c r="AI220" s="369"/>
    </row>
    <row r="221" spans="1:35" ht="16">
      <c r="J221" s="369"/>
      <c r="K221" s="369"/>
      <c r="L221" s="369"/>
      <c r="M221" s="369"/>
      <c r="N221" s="369"/>
      <c r="O221" s="369"/>
      <c r="P221" s="369"/>
      <c r="Q221" s="369"/>
    </row>
    <row r="222" spans="1:35" ht="16">
      <c r="J222" s="369"/>
      <c r="K222" s="369"/>
      <c r="L222" s="369"/>
      <c r="M222" s="369"/>
      <c r="N222" s="369"/>
      <c r="O222" s="369"/>
      <c r="P222" s="369"/>
      <c r="Q222" s="369"/>
    </row>
    <row r="223" spans="1:35" ht="16">
      <c r="J223" s="369"/>
      <c r="K223" s="369"/>
      <c r="L223" s="369"/>
      <c r="M223" s="369"/>
      <c r="N223" s="369"/>
      <c r="O223" s="369"/>
      <c r="P223" s="369"/>
      <c r="Q223" s="369"/>
    </row>
    <row r="224" spans="1:35" ht="16">
      <c r="J224" s="369"/>
      <c r="K224" s="369"/>
      <c r="L224" s="369"/>
      <c r="M224" s="369"/>
      <c r="N224" s="369"/>
      <c r="O224" s="369"/>
      <c r="P224" s="369"/>
      <c r="Q224" s="369"/>
    </row>
    <row r="225" spans="10:17" ht="16">
      <c r="J225" s="369"/>
      <c r="K225" s="369"/>
      <c r="L225" s="369"/>
      <c r="M225" s="369"/>
      <c r="N225" s="369"/>
      <c r="O225" s="369"/>
      <c r="P225" s="369"/>
      <c r="Q225" s="369"/>
    </row>
    <row r="226" spans="10:17" ht="16">
      <c r="J226" s="369"/>
      <c r="K226" s="369"/>
      <c r="L226" s="369"/>
      <c r="M226" s="369"/>
      <c r="N226" s="369"/>
      <c r="O226" s="369"/>
      <c r="P226" s="369"/>
      <c r="Q226" s="369"/>
    </row>
    <row r="227" spans="10:17" ht="16">
      <c r="J227" s="369"/>
      <c r="K227" s="369"/>
      <c r="L227" s="369"/>
      <c r="M227" s="369"/>
      <c r="N227" s="369"/>
      <c r="O227" s="369"/>
      <c r="P227" s="369"/>
      <c r="Q227" s="369"/>
    </row>
    <row r="228" spans="10:17" ht="16">
      <c r="J228" s="369"/>
      <c r="K228" s="369"/>
      <c r="L228" s="369"/>
      <c r="M228" s="369"/>
      <c r="N228" s="369"/>
      <c r="O228" s="369"/>
      <c r="P228" s="369"/>
      <c r="Q228" s="369"/>
    </row>
    <row r="229" spans="10:17" ht="16">
      <c r="J229" s="369"/>
      <c r="K229" s="369"/>
      <c r="L229" s="369"/>
      <c r="M229" s="369"/>
      <c r="N229" s="369"/>
      <c r="O229" s="369"/>
      <c r="P229" s="369"/>
      <c r="Q229" s="369"/>
    </row>
    <row r="230" spans="10:17" ht="16">
      <c r="J230" s="369"/>
      <c r="K230" s="369"/>
      <c r="L230" s="369"/>
      <c r="M230" s="369"/>
      <c r="N230" s="369"/>
      <c r="O230" s="369"/>
      <c r="P230" s="369"/>
      <c r="Q230" s="369"/>
    </row>
    <row r="231" spans="10:17" ht="16">
      <c r="J231" s="369"/>
      <c r="K231" s="369"/>
      <c r="L231" s="369"/>
      <c r="M231" s="369"/>
      <c r="N231" s="369"/>
      <c r="O231" s="369"/>
      <c r="P231" s="369"/>
      <c r="Q231" s="369"/>
    </row>
    <row r="232" spans="10:17" ht="16">
      <c r="J232" s="369"/>
      <c r="K232" s="369"/>
      <c r="L232" s="369"/>
      <c r="M232" s="369"/>
      <c r="N232" s="369"/>
      <c r="O232" s="369"/>
      <c r="P232" s="369"/>
      <c r="Q232" s="369"/>
    </row>
    <row r="233" spans="10:17" ht="16">
      <c r="J233" s="369"/>
      <c r="K233" s="369"/>
      <c r="L233" s="369"/>
      <c r="M233" s="369"/>
      <c r="N233" s="369"/>
      <c r="O233" s="369"/>
      <c r="P233" s="369"/>
      <c r="Q233" s="369"/>
    </row>
    <row r="234" spans="10:17" ht="16">
      <c r="J234" s="369"/>
      <c r="K234" s="369"/>
      <c r="L234" s="369"/>
      <c r="M234" s="369"/>
      <c r="N234" s="369"/>
      <c r="O234" s="369"/>
      <c r="P234" s="369"/>
      <c r="Q234" s="369"/>
    </row>
    <row r="235" spans="10:17" ht="16">
      <c r="J235" s="369"/>
      <c r="K235" s="369"/>
      <c r="L235" s="369"/>
      <c r="M235" s="369"/>
      <c r="N235" s="369"/>
      <c r="O235" s="369"/>
      <c r="P235" s="369"/>
      <c r="Q235" s="369"/>
    </row>
    <row r="236" spans="10:17" ht="16">
      <c r="J236" s="369"/>
      <c r="K236" s="369"/>
      <c r="L236" s="369"/>
      <c r="M236" s="369"/>
      <c r="N236" s="369"/>
      <c r="O236" s="369"/>
      <c r="P236" s="369"/>
    </row>
    <row r="237" spans="10:17" ht="16">
      <c r="J237" s="369"/>
      <c r="K237" s="369"/>
      <c r="L237" s="369"/>
      <c r="M237" s="369"/>
      <c r="N237" s="369"/>
      <c r="O237" s="369"/>
    </row>
  </sheetData>
  <sheetProtection sheet="1" formatCells="0" formatColumns="0" formatRows="0"/>
  <mergeCells count="269">
    <mergeCell ref="J127:P127"/>
    <mergeCell ref="J109:Q113"/>
    <mergeCell ref="J125:P125"/>
    <mergeCell ref="J124:P124"/>
    <mergeCell ref="A63:T63"/>
    <mergeCell ref="A72:T72"/>
    <mergeCell ref="A81:T81"/>
    <mergeCell ref="A10:T10"/>
    <mergeCell ref="A19:T19"/>
    <mergeCell ref="A28:T28"/>
    <mergeCell ref="A116:E116"/>
    <mergeCell ref="S95:T95"/>
    <mergeCell ref="S96:T96"/>
    <mergeCell ref="S97:T97"/>
    <mergeCell ref="S98:T98"/>
    <mergeCell ref="A100:T100"/>
    <mergeCell ref="F111:H111"/>
    <mergeCell ref="F113:H113"/>
    <mergeCell ref="F114:H114"/>
    <mergeCell ref="A99:T99"/>
    <mergeCell ref="S101:T101"/>
    <mergeCell ref="S102:T102"/>
    <mergeCell ref="S103:T103"/>
    <mergeCell ref="J128:P129"/>
    <mergeCell ref="Q128:Q129"/>
    <mergeCell ref="J130:P130"/>
    <mergeCell ref="J131:P131"/>
    <mergeCell ref="F208:H208"/>
    <mergeCell ref="F112:H112"/>
    <mergeCell ref="F116:H116"/>
    <mergeCell ref="F117:H117"/>
    <mergeCell ref="F118:H118"/>
    <mergeCell ref="F119:H119"/>
    <mergeCell ref="F120:H120"/>
    <mergeCell ref="F121:H121"/>
    <mergeCell ref="F122:H122"/>
    <mergeCell ref="F123:H123"/>
    <mergeCell ref="F124:H124"/>
    <mergeCell ref="F140:H140"/>
    <mergeCell ref="F141:H141"/>
    <mergeCell ref="F142:H142"/>
    <mergeCell ref="F139:H139"/>
    <mergeCell ref="F143:H143"/>
    <mergeCell ref="F144:H144"/>
    <mergeCell ref="F145:H145"/>
    <mergeCell ref="F146:H146"/>
    <mergeCell ref="A147:H147"/>
    <mergeCell ref="B119:D119"/>
    <mergeCell ref="B140:D140"/>
    <mergeCell ref="B141:D141"/>
    <mergeCell ref="B128:D128"/>
    <mergeCell ref="F148:H148"/>
    <mergeCell ref="F149:H149"/>
    <mergeCell ref="F150:H150"/>
    <mergeCell ref="F151:H151"/>
    <mergeCell ref="B122:D122"/>
    <mergeCell ref="A126:H126"/>
    <mergeCell ref="B123:D123"/>
    <mergeCell ref="B124:D124"/>
    <mergeCell ref="B184:D184"/>
    <mergeCell ref="B175:D175"/>
    <mergeCell ref="B176:D176"/>
    <mergeCell ref="F129:H129"/>
    <mergeCell ref="B129:D129"/>
    <mergeCell ref="B130:D130"/>
    <mergeCell ref="B127:D127"/>
    <mergeCell ref="F167:H167"/>
    <mergeCell ref="F125:H125"/>
    <mergeCell ref="F127:H127"/>
    <mergeCell ref="F156:H156"/>
    <mergeCell ref="F157:H157"/>
    <mergeCell ref="F158:H158"/>
    <mergeCell ref="F159:H159"/>
    <mergeCell ref="F152:H152"/>
    <mergeCell ref="J114:Q114"/>
    <mergeCell ref="J115:P115"/>
    <mergeCell ref="J116:P116"/>
    <mergeCell ref="B118:D118"/>
    <mergeCell ref="B117:D117"/>
    <mergeCell ref="B120:D120"/>
    <mergeCell ref="B121:D121"/>
    <mergeCell ref="F128:H128"/>
    <mergeCell ref="B189:D189"/>
    <mergeCell ref="B138:D138"/>
    <mergeCell ref="B142:D142"/>
    <mergeCell ref="B143:D143"/>
    <mergeCell ref="B186:D186"/>
    <mergeCell ref="B181:D181"/>
    <mergeCell ref="B182:D182"/>
    <mergeCell ref="B183:D183"/>
    <mergeCell ref="B161:D161"/>
    <mergeCell ref="B162:D162"/>
    <mergeCell ref="B158:D158"/>
    <mergeCell ref="B159:D159"/>
    <mergeCell ref="B156:D156"/>
    <mergeCell ref="B157:D157"/>
    <mergeCell ref="B160:D160"/>
    <mergeCell ref="B188:D188"/>
    <mergeCell ref="A95:R95"/>
    <mergeCell ref="A96:R96"/>
    <mergeCell ref="A97:R97"/>
    <mergeCell ref="A98:R98"/>
    <mergeCell ref="A91:T91"/>
    <mergeCell ref="A92:T92"/>
    <mergeCell ref="S93:T93"/>
    <mergeCell ref="S94:T94"/>
    <mergeCell ref="B187:E187"/>
    <mergeCell ref="B163:D163"/>
    <mergeCell ref="B155:D155"/>
    <mergeCell ref="F160:H160"/>
    <mergeCell ref="F163:H163"/>
    <mergeCell ref="F161:H161"/>
    <mergeCell ref="S104:T104"/>
    <mergeCell ref="S105:T105"/>
    <mergeCell ref="S106:T106"/>
    <mergeCell ref="B111:D111"/>
    <mergeCell ref="J117:P117"/>
    <mergeCell ref="J126:P126"/>
    <mergeCell ref="J118:Q118"/>
    <mergeCell ref="J123:P123"/>
    <mergeCell ref="A115:F115"/>
    <mergeCell ref="B114:D114"/>
    <mergeCell ref="A2:T2"/>
    <mergeCell ref="A5:T5"/>
    <mergeCell ref="A55:T55"/>
    <mergeCell ref="A56:D56"/>
    <mergeCell ref="F56:S56"/>
    <mergeCell ref="C6:E6"/>
    <mergeCell ref="A41:R41"/>
    <mergeCell ref="A42:R42"/>
    <mergeCell ref="A57:D57"/>
    <mergeCell ref="F57:S57"/>
    <mergeCell ref="A46:T46"/>
    <mergeCell ref="A47:T47"/>
    <mergeCell ref="S48:T48"/>
    <mergeCell ref="S49:T49"/>
    <mergeCell ref="S50:T50"/>
    <mergeCell ref="S51:T51"/>
    <mergeCell ref="A3:D3"/>
    <mergeCell ref="A4:D4"/>
    <mergeCell ref="F3:S3"/>
    <mergeCell ref="F4:S4"/>
    <mergeCell ref="S52:T52"/>
    <mergeCell ref="S53:T53"/>
    <mergeCell ref="A52:R52"/>
    <mergeCell ref="A53:R53"/>
    <mergeCell ref="F153:H153"/>
    <mergeCell ref="A154:H154"/>
    <mergeCell ref="F155:H155"/>
    <mergeCell ref="B152:D152"/>
    <mergeCell ref="F130:H130"/>
    <mergeCell ref="F131:H131"/>
    <mergeCell ref="F138:H138"/>
    <mergeCell ref="B131:D131"/>
    <mergeCell ref="B132:D132"/>
    <mergeCell ref="F132:H132"/>
    <mergeCell ref="F133:H133"/>
    <mergeCell ref="F134:H134"/>
    <mergeCell ref="F135:H135"/>
    <mergeCell ref="F136:H136"/>
    <mergeCell ref="A137:H137"/>
    <mergeCell ref="B133:D133"/>
    <mergeCell ref="B134:D134"/>
    <mergeCell ref="B135:D135"/>
    <mergeCell ref="B139:D139"/>
    <mergeCell ref="B149:D149"/>
    <mergeCell ref="B150:D150"/>
    <mergeCell ref="B151:D151"/>
    <mergeCell ref="B144:D144"/>
    <mergeCell ref="B145:D145"/>
    <mergeCell ref="F162:H162"/>
    <mergeCell ref="F168:H168"/>
    <mergeCell ref="A166:H166"/>
    <mergeCell ref="F175:H175"/>
    <mergeCell ref="F176:H176"/>
    <mergeCell ref="F177:H177"/>
    <mergeCell ref="F178:H178"/>
    <mergeCell ref="A179:H179"/>
    <mergeCell ref="B174:D174"/>
    <mergeCell ref="F171:H171"/>
    <mergeCell ref="A172:H172"/>
    <mergeCell ref="F173:H173"/>
    <mergeCell ref="F174:H174"/>
    <mergeCell ref="B167:D167"/>
    <mergeCell ref="B164:D164"/>
    <mergeCell ref="F164:H164"/>
    <mergeCell ref="F170:H170"/>
    <mergeCell ref="F169:H169"/>
    <mergeCell ref="F165:H165"/>
    <mergeCell ref="B177:D177"/>
    <mergeCell ref="B168:D168"/>
    <mergeCell ref="B169:D169"/>
    <mergeCell ref="B170:D170"/>
    <mergeCell ref="F180:H180"/>
    <mergeCell ref="F181:H181"/>
    <mergeCell ref="F182:H182"/>
    <mergeCell ref="F183:H183"/>
    <mergeCell ref="F184:H184"/>
    <mergeCell ref="F185:H185"/>
    <mergeCell ref="F186:H186"/>
    <mergeCell ref="F188:H188"/>
    <mergeCell ref="F189:H189"/>
    <mergeCell ref="F187:H187"/>
    <mergeCell ref="F190:H190"/>
    <mergeCell ref="F191:H191"/>
    <mergeCell ref="A205:H205"/>
    <mergeCell ref="F192:H192"/>
    <mergeCell ref="A193:H193"/>
    <mergeCell ref="F194:H194"/>
    <mergeCell ref="F195:H195"/>
    <mergeCell ref="F196:H196"/>
    <mergeCell ref="F197:H197"/>
    <mergeCell ref="F198:H198"/>
    <mergeCell ref="B196:D196"/>
    <mergeCell ref="B194:D194"/>
    <mergeCell ref="B195:D195"/>
    <mergeCell ref="B202:D202"/>
    <mergeCell ref="B203:D203"/>
    <mergeCell ref="B197:D197"/>
    <mergeCell ref="B200:D200"/>
    <mergeCell ref="B201:D201"/>
    <mergeCell ref="F206:H206"/>
    <mergeCell ref="F207:H207"/>
    <mergeCell ref="A48:R48"/>
    <mergeCell ref="A49:R49"/>
    <mergeCell ref="A50:R50"/>
    <mergeCell ref="A51:R51"/>
    <mergeCell ref="S45:T45"/>
    <mergeCell ref="A38:T38"/>
    <mergeCell ref="A39:T39"/>
    <mergeCell ref="S40:T40"/>
    <mergeCell ref="S41:T41"/>
    <mergeCell ref="S42:T42"/>
    <mergeCell ref="S43:T43"/>
    <mergeCell ref="S44:T44"/>
    <mergeCell ref="A43:R43"/>
    <mergeCell ref="A44:R44"/>
    <mergeCell ref="B190:D190"/>
    <mergeCell ref="B191:D191"/>
    <mergeCell ref="A199:H199"/>
    <mergeCell ref="F200:H200"/>
    <mergeCell ref="F201:H201"/>
    <mergeCell ref="F202:H202"/>
    <mergeCell ref="F203:H203"/>
    <mergeCell ref="F204:H204"/>
    <mergeCell ref="J119:P122"/>
    <mergeCell ref="Q119:Q122"/>
    <mergeCell ref="R130:W131"/>
    <mergeCell ref="C7:E7"/>
    <mergeCell ref="C8:E8"/>
    <mergeCell ref="F6:R8"/>
    <mergeCell ref="S6:T8"/>
    <mergeCell ref="C59:E59"/>
    <mergeCell ref="F59:R61"/>
    <mergeCell ref="S59:T61"/>
    <mergeCell ref="C60:E60"/>
    <mergeCell ref="C61:E61"/>
    <mergeCell ref="A58:T58"/>
    <mergeCell ref="A101:R101"/>
    <mergeCell ref="A102:R102"/>
    <mergeCell ref="A103:R103"/>
    <mergeCell ref="A104:R104"/>
    <mergeCell ref="A105:R105"/>
    <mergeCell ref="A106:R106"/>
    <mergeCell ref="A109:H109"/>
    <mergeCell ref="F110:H110"/>
    <mergeCell ref="B113:D113"/>
    <mergeCell ref="B110:D110"/>
    <mergeCell ref="A94:R94"/>
  </mergeCells>
  <phoneticPr fontId="55" type="noConversion"/>
  <conditionalFormatting sqref="Q131">
    <cfRule type="expression" dxfId="1" priority="1">
      <formula>OR($Q$131="Ja",)</formula>
    </cfRule>
    <cfRule type="expression" dxfId="0" priority="2">
      <formula>OR($Q$131="Nej",)</formula>
    </cfRule>
  </conditionalFormatting>
  <dataValidations count="1">
    <dataValidation type="decimal" allowBlank="1" showInputMessage="1" showErrorMessage="1" sqref="Q128:Q129" xr:uid="{919956C0-7621-9E4A-A6AB-1C033DA9AA03}">
      <formula1>-500</formula1>
      <formula2>0</formula2>
    </dataValidation>
  </dataValidations>
  <printOptions horizontalCentered="1"/>
  <pageMargins left="0.25" right="0.25" top="0.75" bottom="0.75" header="0.3" footer="0.3"/>
  <pageSetup paperSize="9" scale="45" orientation="landscape" horizontalDpi="4294967292" verticalDpi="4294967292"/>
  <headerFooter alignWithMargins="0">
    <oddFooter>&amp;L&amp;G&amp;R
&amp;D
&amp;A</oddFooter>
  </headerFooter>
  <rowBreaks count="3" manualBreakCount="3">
    <brk id="53" max="16383" man="1"/>
    <brk id="106" max="16383" man="1"/>
    <brk id="207" max="16383" man="1"/>
  </rowBreaks>
  <colBreaks count="1" manualBreakCount="1">
    <brk id="20" max="1048575" man="1"/>
  </colBreaks>
  <drawing r:id="rId1"/>
  <legacy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Ark8">
    <tabColor rgb="FFFFFF00"/>
  </sheetPr>
  <dimension ref="A1:I100"/>
  <sheetViews>
    <sheetView zoomScaleNormal="100" zoomScaleSheetLayoutView="100" workbookViewId="0">
      <selection activeCell="H92" sqref="H92"/>
    </sheetView>
  </sheetViews>
  <sheetFormatPr baseColWidth="10" defaultColWidth="11.5" defaultRowHeight="13"/>
  <cols>
    <col min="1" max="1" width="3.5" style="2" customWidth="1"/>
    <col min="2" max="2" width="9.5" style="2" customWidth="1"/>
    <col min="3" max="3" width="53.5" customWidth="1"/>
    <col min="4" max="5" width="12.5" customWidth="1"/>
    <col min="6" max="6" width="35" customWidth="1"/>
    <col min="8" max="8" width="14.5" customWidth="1"/>
    <col min="9" max="9" width="22.5" customWidth="1"/>
  </cols>
  <sheetData>
    <row r="1" spans="1:9" s="98" customFormat="1" ht="27" customHeight="1" thickBot="1">
      <c r="A1" s="2"/>
      <c r="B1" s="2"/>
      <c r="C1"/>
      <c r="D1"/>
      <c r="E1"/>
      <c r="F1"/>
      <c r="G1"/>
      <c r="H1"/>
      <c r="I1"/>
    </row>
    <row r="2" spans="1:9" s="31" customFormat="1" ht="124" customHeight="1" thickBot="1">
      <c r="A2" s="3439" t="s">
        <v>880</v>
      </c>
      <c r="B2" s="3440"/>
      <c r="C2" s="3440"/>
      <c r="D2" s="1811" t="s">
        <v>881</v>
      </c>
      <c r="E2" s="1812" t="s">
        <v>682</v>
      </c>
      <c r="F2" s="1813" t="str">
        <f>'Undervisning-SFO udgifter'!F2</f>
        <v>Ændringer i budgetår 2027 i forhold til 2026. Hvis ekstra udgifter påfør udgiften som et positivt tal. Hvis en lavere udgift, påfør den lavere udgift med et negativt tal. Tallene skal ses i forhold til Budgetåret 2026.</v>
      </c>
      <c r="G2" s="353"/>
      <c r="H2" s="3437" t="str">
        <f>"Heraf daginstitutionens andel vedr. budgetår "&amp;E3&amp;": (kun til brug for retvisende budget for daginstitutionene)"</f>
        <v>Heraf daginstitutionens andel vedr. budgetår 2026: (kun til brug for retvisende budget for daginstitutionene)</v>
      </c>
      <c r="I2" s="3438"/>
    </row>
    <row r="3" spans="1:9" s="3" customFormat="1" ht="18" customHeight="1">
      <c r="A3" s="1814" t="s">
        <v>388</v>
      </c>
      <c r="B3" s="1815" t="s">
        <v>827</v>
      </c>
      <c r="C3" s="1816" t="s">
        <v>882</v>
      </c>
      <c r="D3" s="1817">
        <f>budgetår-1</f>
        <v>2025</v>
      </c>
      <c r="E3" s="1818">
        <f>budgetår</f>
        <v>2026</v>
      </c>
      <c r="F3" s="1648" t="str">
        <f>'Undervisning-SFO udgifter'!F3</f>
        <v>Ændringer til 2027</v>
      </c>
      <c r="G3" s="134"/>
      <c r="H3" s="367" t="s">
        <v>883</v>
      </c>
      <c r="I3" s="368" t="s">
        <v>603</v>
      </c>
    </row>
    <row r="4" spans="1:9" ht="18" customHeight="1">
      <c r="A4" s="611">
        <v>1</v>
      </c>
      <c r="B4" s="466"/>
      <c r="C4" s="365" t="s">
        <v>884</v>
      </c>
      <c r="D4" s="366"/>
      <c r="E4" s="383"/>
      <c r="F4" s="1819"/>
      <c r="G4" s="369"/>
      <c r="H4" s="370"/>
      <c r="I4" s="371">
        <f>E4*H4</f>
        <v>0</v>
      </c>
    </row>
    <row r="5" spans="1:9" ht="18" customHeight="1">
      <c r="A5" s="611">
        <v>2</v>
      </c>
      <c r="B5" s="466"/>
      <c r="C5" s="365"/>
      <c r="D5" s="366"/>
      <c r="E5" s="383"/>
      <c r="F5" s="1819"/>
      <c r="G5" s="369"/>
      <c r="H5" s="370"/>
      <c r="I5" s="371">
        <f t="shared" ref="I5:I54" si="0">E5*H5</f>
        <v>0</v>
      </c>
    </row>
    <row r="6" spans="1:9" ht="18" customHeight="1">
      <c r="A6" s="611">
        <v>3</v>
      </c>
      <c r="B6" s="466"/>
      <c r="C6" s="365" t="s">
        <v>885</v>
      </c>
      <c r="D6" s="366"/>
      <c r="E6" s="383"/>
      <c r="F6" s="1819"/>
      <c r="G6" s="369"/>
      <c r="H6" s="370"/>
      <c r="I6" s="371">
        <f t="shared" si="0"/>
        <v>0</v>
      </c>
    </row>
    <row r="7" spans="1:9" ht="18" customHeight="1">
      <c r="A7" s="611">
        <v>4</v>
      </c>
      <c r="B7" s="466"/>
      <c r="C7" s="365"/>
      <c r="D7" s="366"/>
      <c r="E7" s="383"/>
      <c r="F7" s="1819"/>
      <c r="G7" s="369"/>
      <c r="H7" s="370"/>
      <c r="I7" s="371">
        <f t="shared" si="0"/>
        <v>0</v>
      </c>
    </row>
    <row r="8" spans="1:9" ht="18" customHeight="1">
      <c r="A8" s="611">
        <v>5</v>
      </c>
      <c r="B8" s="466"/>
      <c r="C8" s="365"/>
      <c r="D8" s="366"/>
      <c r="E8" s="383"/>
      <c r="F8" s="1819"/>
      <c r="G8" s="369"/>
      <c r="H8" s="372"/>
      <c r="I8" s="373">
        <f t="shared" si="0"/>
        <v>0</v>
      </c>
    </row>
    <row r="9" spans="1:9" ht="18" customHeight="1">
      <c r="A9" s="1820" t="s">
        <v>886</v>
      </c>
      <c r="B9" s="1821"/>
      <c r="C9" s="1822"/>
      <c r="D9" s="1823">
        <f>SUM(D4:D8)</f>
        <v>0</v>
      </c>
      <c r="E9" s="1824">
        <f>SUM(E4:E8)</f>
        <v>0</v>
      </c>
      <c r="F9" s="643">
        <f>SUM(F4:F8)</f>
        <v>0</v>
      </c>
      <c r="G9" s="369"/>
      <c r="H9" s="1825" t="s">
        <v>887</v>
      </c>
      <c r="I9" s="1826">
        <f>SUM(I4:I8)</f>
        <v>0</v>
      </c>
    </row>
    <row r="10" spans="1:9" s="3" customFormat="1" ht="18" customHeight="1">
      <c r="A10" s="1827" t="s">
        <v>388</v>
      </c>
      <c r="B10" s="1828" t="str">
        <f>B3</f>
        <v>Kto. nr.</v>
      </c>
      <c r="C10" s="1829" t="s">
        <v>888</v>
      </c>
      <c r="D10" s="1830">
        <f>budgetår-1</f>
        <v>2025</v>
      </c>
      <c r="E10" s="1831">
        <f>budgetår</f>
        <v>2026</v>
      </c>
      <c r="F10" s="644" t="str">
        <f>F3</f>
        <v>Ændringer til 2027</v>
      </c>
      <c r="G10" s="134"/>
      <c r="H10" s="1832"/>
      <c r="I10" s="1833"/>
    </row>
    <row r="11" spans="1:9" ht="18" customHeight="1">
      <c r="A11" s="611">
        <v>1</v>
      </c>
      <c r="B11" s="466"/>
      <c r="C11" s="365" t="s">
        <v>889</v>
      </c>
      <c r="D11" s="1834"/>
      <c r="E11" s="1835"/>
      <c r="F11" s="1627"/>
      <c r="G11" s="369"/>
      <c r="H11" s="374"/>
      <c r="I11" s="375">
        <f t="shared" si="0"/>
        <v>0</v>
      </c>
    </row>
    <row r="12" spans="1:9" ht="18" customHeight="1">
      <c r="A12" s="611">
        <v>2</v>
      </c>
      <c r="B12" s="466"/>
      <c r="C12" s="365" t="s">
        <v>890</v>
      </c>
      <c r="D12" s="366"/>
      <c r="E12" s="383"/>
      <c r="F12" s="1627"/>
      <c r="G12" s="369"/>
      <c r="H12" s="370"/>
      <c r="I12" s="371">
        <f t="shared" si="0"/>
        <v>0</v>
      </c>
    </row>
    <row r="13" spans="1:9" ht="18" customHeight="1">
      <c r="A13" s="611">
        <v>3</v>
      </c>
      <c r="B13" s="466"/>
      <c r="C13" s="365" t="s">
        <v>891</v>
      </c>
      <c r="D13" s="366"/>
      <c r="E13" s="383"/>
      <c r="F13" s="1627"/>
      <c r="G13" s="369"/>
      <c r="H13" s="370"/>
      <c r="I13" s="371">
        <f t="shared" si="0"/>
        <v>0</v>
      </c>
    </row>
    <row r="14" spans="1:9" ht="18" customHeight="1">
      <c r="A14" s="611">
        <v>4</v>
      </c>
      <c r="B14" s="466"/>
      <c r="C14" s="365"/>
      <c r="D14" s="366"/>
      <c r="E14" s="383"/>
      <c r="F14" s="1627"/>
      <c r="G14" s="369"/>
      <c r="H14" s="370"/>
      <c r="I14" s="371">
        <f t="shared" si="0"/>
        <v>0</v>
      </c>
    </row>
    <row r="15" spans="1:9" ht="18" customHeight="1">
      <c r="A15" s="611">
        <v>5</v>
      </c>
      <c r="B15" s="466"/>
      <c r="C15" s="365"/>
      <c r="D15" s="366"/>
      <c r="E15" s="383"/>
      <c r="F15" s="1627"/>
      <c r="G15" s="369"/>
      <c r="H15" s="372"/>
      <c r="I15" s="373">
        <f t="shared" si="0"/>
        <v>0</v>
      </c>
    </row>
    <row r="16" spans="1:9" ht="18" customHeight="1" thickBot="1">
      <c r="A16" s="1820" t="s">
        <v>892</v>
      </c>
      <c r="B16" s="1821"/>
      <c r="C16" s="1822"/>
      <c r="D16" s="1823">
        <f>SUM(D11:D15)</f>
        <v>0</v>
      </c>
      <c r="E16" s="1824">
        <f>SUM(E11:E15)</f>
        <v>0</v>
      </c>
      <c r="F16" s="645">
        <f>SUM(F11:F15)</f>
        <v>0</v>
      </c>
      <c r="G16" s="369"/>
      <c r="H16" s="1832"/>
      <c r="I16" s="1833"/>
    </row>
    <row r="17" spans="1:9" ht="24" customHeight="1" thickBot="1">
      <c r="A17" s="1836" t="str">
        <f>"Lejeudgifter i alt til hovedskema lin. 47"</f>
        <v>Lejeudgifter i alt til hovedskema lin. 47</v>
      </c>
      <c r="B17" s="1837"/>
      <c r="C17" s="1838"/>
      <c r="D17" s="1839"/>
      <c r="E17" s="1840">
        <f>E9+E16</f>
        <v>0</v>
      </c>
      <c r="F17" s="920"/>
      <c r="G17" s="369"/>
      <c r="H17" s="1832"/>
      <c r="I17" s="1833"/>
    </row>
    <row r="18" spans="1:9" s="3" customFormat="1" ht="18" customHeight="1" thickBot="1">
      <c r="A18" s="376"/>
      <c r="B18" s="376"/>
      <c r="C18" s="134"/>
      <c r="D18" s="134"/>
      <c r="E18" s="134"/>
      <c r="F18" s="134"/>
      <c r="G18" s="369"/>
      <c r="H18" s="1832"/>
      <c r="I18" s="1833"/>
    </row>
    <row r="19" spans="1:9" ht="18" customHeight="1">
      <c r="A19" s="1841" t="s">
        <v>388</v>
      </c>
      <c r="B19" s="1842" t="str">
        <f>B10</f>
        <v>Kto. nr.</v>
      </c>
      <c r="C19" s="1843" t="s">
        <v>893</v>
      </c>
      <c r="D19" s="1844">
        <f>budgetår-1</f>
        <v>2025</v>
      </c>
      <c r="E19" s="1845">
        <f>budgetår</f>
        <v>2026</v>
      </c>
      <c r="F19" s="1846" t="str">
        <f>F10</f>
        <v>Ændringer til 2027</v>
      </c>
      <c r="G19" s="134"/>
      <c r="H19" s="377"/>
      <c r="I19" s="378"/>
    </row>
    <row r="20" spans="1:9" ht="18" customHeight="1">
      <c r="A20" s="611">
        <v>1</v>
      </c>
      <c r="B20" s="463"/>
      <c r="C20" s="379" t="s">
        <v>893</v>
      </c>
      <c r="D20" s="366"/>
      <c r="E20" s="1835"/>
      <c r="F20" s="1819"/>
      <c r="G20" s="369"/>
      <c r="H20" s="370"/>
      <c r="I20" s="371">
        <f t="shared" si="0"/>
        <v>0</v>
      </c>
    </row>
    <row r="21" spans="1:9" ht="18" customHeight="1">
      <c r="A21" s="611">
        <v>2</v>
      </c>
      <c r="B21" s="463"/>
      <c r="C21" s="379"/>
      <c r="D21" s="380"/>
      <c r="E21" s="394"/>
      <c r="F21" s="1819"/>
      <c r="G21" s="369"/>
      <c r="H21" s="370"/>
      <c r="I21" s="371">
        <f t="shared" si="0"/>
        <v>0</v>
      </c>
    </row>
    <row r="22" spans="1:9" ht="18" customHeight="1">
      <c r="A22" s="611">
        <v>3</v>
      </c>
      <c r="B22" s="463"/>
      <c r="C22" s="379"/>
      <c r="D22" s="380"/>
      <c r="E22" s="394"/>
      <c r="F22" s="1819"/>
      <c r="G22" s="369"/>
      <c r="H22" s="370"/>
      <c r="I22" s="371">
        <f t="shared" si="0"/>
        <v>0</v>
      </c>
    </row>
    <row r="23" spans="1:9" ht="18" customHeight="1">
      <c r="A23" s="611">
        <v>4</v>
      </c>
      <c r="B23" s="463"/>
      <c r="C23" s="379"/>
      <c r="D23" s="380"/>
      <c r="E23" s="394"/>
      <c r="F23" s="1819"/>
      <c r="G23" s="369"/>
      <c r="H23" s="370"/>
      <c r="I23" s="371">
        <f t="shared" si="0"/>
        <v>0</v>
      </c>
    </row>
    <row r="24" spans="1:9" ht="18" customHeight="1">
      <c r="A24" s="611">
        <v>5</v>
      </c>
      <c r="B24" s="466"/>
      <c r="C24" s="365"/>
      <c r="D24" s="380"/>
      <c r="E24" s="394"/>
      <c r="F24" s="1819"/>
      <c r="G24" s="369"/>
      <c r="H24" s="372"/>
      <c r="I24" s="373">
        <f t="shared" si="0"/>
        <v>0</v>
      </c>
    </row>
    <row r="25" spans="1:9" s="3" customFormat="1" ht="18" customHeight="1">
      <c r="A25" s="1820" t="s">
        <v>894</v>
      </c>
      <c r="B25" s="1821"/>
      <c r="C25" s="1822"/>
      <c r="D25" s="1823">
        <f>SUM(D20:D24)</f>
        <v>0</v>
      </c>
      <c r="E25" s="1823">
        <f>SUM(E20:E24)</f>
        <v>0</v>
      </c>
      <c r="F25" s="646">
        <f>SUM(F20:F24)</f>
        <v>0</v>
      </c>
      <c r="G25" s="382"/>
      <c r="H25" s="1832"/>
      <c r="I25" s="1833"/>
    </row>
    <row r="26" spans="1:9" ht="18" customHeight="1">
      <c r="A26" s="1827" t="s">
        <v>388</v>
      </c>
      <c r="B26" s="1828" t="str">
        <f>B19</f>
        <v>Kto. nr.</v>
      </c>
      <c r="C26" s="1829" t="s">
        <v>895</v>
      </c>
      <c r="D26" s="1830">
        <f>budgetår-1</f>
        <v>2025</v>
      </c>
      <c r="E26" s="1831">
        <f>budgetår</f>
        <v>2026</v>
      </c>
      <c r="F26" s="644" t="str">
        <f>F10</f>
        <v>Ændringer til 2027</v>
      </c>
      <c r="G26" s="134"/>
      <c r="H26" s="1832"/>
      <c r="I26" s="1833"/>
    </row>
    <row r="27" spans="1:9" ht="18" customHeight="1">
      <c r="A27" s="611">
        <v>1</v>
      </c>
      <c r="B27" s="466"/>
      <c r="C27" s="365" t="s">
        <v>896</v>
      </c>
      <c r="D27" s="366"/>
      <c r="E27" s="383"/>
      <c r="F27" s="1627"/>
      <c r="G27" s="369"/>
      <c r="H27" s="374"/>
      <c r="I27" s="375">
        <f t="shared" si="0"/>
        <v>0</v>
      </c>
    </row>
    <row r="28" spans="1:9" ht="18" customHeight="1">
      <c r="A28" s="611">
        <v>2</v>
      </c>
      <c r="B28" s="466"/>
      <c r="C28" s="365" t="s">
        <v>897</v>
      </c>
      <c r="D28" s="366"/>
      <c r="E28" s="383"/>
      <c r="F28" s="1627"/>
      <c r="G28" s="369"/>
      <c r="H28" s="370"/>
      <c r="I28" s="371">
        <f t="shared" si="0"/>
        <v>0</v>
      </c>
    </row>
    <row r="29" spans="1:9" ht="18" customHeight="1">
      <c r="A29" s="611">
        <v>3</v>
      </c>
      <c r="B29" s="466"/>
      <c r="C29" s="365" t="s">
        <v>898</v>
      </c>
      <c r="D29" s="366"/>
      <c r="E29" s="383"/>
      <c r="F29" s="1627"/>
      <c r="G29" s="369"/>
      <c r="H29" s="370"/>
      <c r="I29" s="371">
        <f t="shared" si="0"/>
        <v>0</v>
      </c>
    </row>
    <row r="30" spans="1:9" ht="18" customHeight="1">
      <c r="A30" s="611">
        <v>4</v>
      </c>
      <c r="B30" s="466"/>
      <c r="C30" s="365"/>
      <c r="D30" s="366"/>
      <c r="E30" s="383"/>
      <c r="F30" s="1627"/>
      <c r="G30" s="369"/>
      <c r="H30" s="370"/>
      <c r="I30" s="371">
        <f t="shared" si="0"/>
        <v>0</v>
      </c>
    </row>
    <row r="31" spans="1:9" ht="18" customHeight="1" thickBot="1">
      <c r="A31" s="611">
        <v>5</v>
      </c>
      <c r="B31" s="466"/>
      <c r="C31" s="365"/>
      <c r="D31" s="366"/>
      <c r="E31" s="383"/>
      <c r="F31" s="1847"/>
      <c r="G31" s="369"/>
      <c r="H31" s="372"/>
      <c r="I31" s="373">
        <f t="shared" si="0"/>
        <v>0</v>
      </c>
    </row>
    <row r="32" spans="1:9" ht="18" customHeight="1" thickBot="1">
      <c r="A32" s="1820" t="s">
        <v>899</v>
      </c>
      <c r="B32" s="1821"/>
      <c r="C32" s="1822"/>
      <c r="D32" s="1823">
        <f>SUM(D27:D31)</f>
        <v>0</v>
      </c>
      <c r="E32" s="1848">
        <f>SUM(E27:E31)</f>
        <v>0</v>
      </c>
      <c r="F32" s="625">
        <f>SUM(F27:F31)</f>
        <v>0</v>
      </c>
      <c r="G32" s="369"/>
      <c r="H32" s="1832"/>
      <c r="I32" s="1833"/>
    </row>
    <row r="33" spans="1:9" ht="24" customHeight="1" thickBot="1">
      <c r="A33" s="1836" t="str">
        <f>"Ejendomsskatter og forsikringer  i alt til hovedskema lin. 48"</f>
        <v>Ejendomsskatter og forsikringer  i alt til hovedskema lin. 48</v>
      </c>
      <c r="B33" s="1837"/>
      <c r="C33" s="1838"/>
      <c r="D33" s="1839"/>
      <c r="E33" s="1840">
        <f>E32+E25</f>
        <v>0</v>
      </c>
      <c r="F33" s="920"/>
      <c r="G33" s="369"/>
      <c r="H33" s="1832"/>
      <c r="I33" s="1833"/>
    </row>
    <row r="34" spans="1:9" ht="17" thickBot="1">
      <c r="A34" s="376"/>
      <c r="B34" s="376"/>
      <c r="C34" s="134"/>
      <c r="D34" s="134"/>
      <c r="E34" s="134"/>
      <c r="F34" s="134"/>
      <c r="G34" s="369"/>
      <c r="H34" s="1832"/>
      <c r="I34" s="1833"/>
    </row>
    <row r="35" spans="1:9" ht="16">
      <c r="A35" s="1841" t="s">
        <v>388</v>
      </c>
      <c r="B35" s="1842" t="str">
        <f>B26</f>
        <v>Kto. nr.</v>
      </c>
      <c r="C35" s="1843" t="s">
        <v>900</v>
      </c>
      <c r="D35" s="1849">
        <f>D26</f>
        <v>2025</v>
      </c>
      <c r="E35" s="1849">
        <f>E26</f>
        <v>2026</v>
      </c>
      <c r="F35" s="1850" t="str">
        <f>F26</f>
        <v>Ændringer til 2027</v>
      </c>
      <c r="G35" s="369"/>
      <c r="H35" s="1832"/>
      <c r="I35" s="1833"/>
    </row>
    <row r="36" spans="1:9" ht="16">
      <c r="A36" s="611">
        <v>1</v>
      </c>
      <c r="B36" s="463"/>
      <c r="C36" s="383" t="s">
        <v>900</v>
      </c>
      <c r="D36" s="366"/>
      <c r="E36" s="1835"/>
      <c r="F36" s="1628"/>
      <c r="G36" s="369"/>
      <c r="H36" s="374"/>
      <c r="I36" s="375">
        <f t="shared" si="0"/>
        <v>0</v>
      </c>
    </row>
    <row r="37" spans="1:9" ht="16">
      <c r="A37" s="611">
        <v>2</v>
      </c>
      <c r="B37" s="463"/>
      <c r="C37" s="383" t="s">
        <v>901</v>
      </c>
      <c r="D37" s="366"/>
      <c r="E37" s="383"/>
      <c r="F37" s="1628"/>
      <c r="G37" s="369"/>
      <c r="H37" s="372"/>
      <c r="I37" s="373">
        <f t="shared" si="0"/>
        <v>0</v>
      </c>
    </row>
    <row r="38" spans="1:9" ht="16">
      <c r="A38" s="1851" t="s">
        <v>902</v>
      </c>
      <c r="B38" s="1852"/>
      <c r="C38" s="1853"/>
      <c r="D38" s="1823">
        <f>SUM(D36:D37)</f>
        <v>0</v>
      </c>
      <c r="E38" s="1823">
        <f>SUM(E36:E37)</f>
        <v>0</v>
      </c>
      <c r="F38" s="646">
        <f>SUM(F36:F37)</f>
        <v>0</v>
      </c>
      <c r="G38" s="369"/>
      <c r="H38" s="1832"/>
      <c r="I38" s="1833"/>
    </row>
    <row r="39" spans="1:9" ht="16">
      <c r="A39" s="1827" t="s">
        <v>388</v>
      </c>
      <c r="B39" s="1828" t="str">
        <f>B35</f>
        <v>Kto. nr.</v>
      </c>
      <c r="C39" s="1854" t="s">
        <v>903</v>
      </c>
      <c r="D39" s="1855">
        <f>D35</f>
        <v>2025</v>
      </c>
      <c r="E39" s="1855">
        <f>E35</f>
        <v>2026</v>
      </c>
      <c r="F39" s="1856" t="str">
        <f>F35</f>
        <v>Ændringer til 2027</v>
      </c>
      <c r="G39" s="369"/>
      <c r="H39" s="1832"/>
      <c r="I39" s="1833"/>
    </row>
    <row r="40" spans="1:9" ht="16">
      <c r="A40" s="611">
        <v>1</v>
      </c>
      <c r="B40" s="463"/>
      <c r="C40" s="383" t="s">
        <v>904</v>
      </c>
      <c r="D40" s="366"/>
      <c r="E40" s="624"/>
      <c r="F40" s="1857"/>
      <c r="G40" s="369"/>
      <c r="H40" s="374"/>
      <c r="I40" s="375">
        <f t="shared" si="0"/>
        <v>0</v>
      </c>
    </row>
    <row r="41" spans="1:9" ht="16">
      <c r="A41" s="611">
        <v>2</v>
      </c>
      <c r="B41" s="463"/>
      <c r="C41" s="383"/>
      <c r="D41" s="366"/>
      <c r="E41" s="383"/>
      <c r="F41" s="1857"/>
      <c r="G41" s="369"/>
      <c r="H41" s="372"/>
      <c r="I41" s="373">
        <f t="shared" si="0"/>
        <v>0</v>
      </c>
    </row>
    <row r="42" spans="1:9" ht="16">
      <c r="A42" s="1851" t="s">
        <v>905</v>
      </c>
      <c r="B42" s="1852"/>
      <c r="C42" s="1853"/>
      <c r="D42" s="1823">
        <f>SUM(D40:D41)</f>
        <v>0</v>
      </c>
      <c r="E42" s="1858">
        <f>SUM(E40:E41)</f>
        <v>0</v>
      </c>
      <c r="F42" s="646">
        <f>SUM(F40:F41)</f>
        <v>0</v>
      </c>
      <c r="G42" s="369"/>
      <c r="H42" s="1832"/>
      <c r="I42" s="1833"/>
    </row>
    <row r="43" spans="1:9" ht="16">
      <c r="A43" s="1827" t="s">
        <v>388</v>
      </c>
      <c r="B43" s="1828" t="str">
        <f>B35</f>
        <v>Kto. nr.</v>
      </c>
      <c r="C43" s="1854" t="s">
        <v>906</v>
      </c>
      <c r="D43" s="1855">
        <f>D39</f>
        <v>2025</v>
      </c>
      <c r="E43" s="1855">
        <f>E39</f>
        <v>2026</v>
      </c>
      <c r="F43" s="1856" t="str">
        <f>F39</f>
        <v>Ændringer til 2027</v>
      </c>
      <c r="G43" s="369"/>
      <c r="H43" s="1832"/>
      <c r="I43" s="1833"/>
    </row>
    <row r="44" spans="1:9" ht="16">
      <c r="A44" s="611">
        <v>1</v>
      </c>
      <c r="B44" s="463"/>
      <c r="C44" s="383" t="s">
        <v>906</v>
      </c>
      <c r="D44" s="366"/>
      <c r="E44" s="383"/>
      <c r="F44" s="1857"/>
      <c r="G44" s="369"/>
      <c r="H44" s="374"/>
      <c r="I44" s="375">
        <f t="shared" si="0"/>
        <v>0</v>
      </c>
    </row>
    <row r="45" spans="1:9" ht="16">
      <c r="A45" s="611">
        <v>2</v>
      </c>
      <c r="B45" s="463"/>
      <c r="C45" s="383" t="s">
        <v>907</v>
      </c>
      <c r="D45" s="366"/>
      <c r="E45" s="383"/>
      <c r="F45" s="1857"/>
      <c r="G45" s="369"/>
      <c r="H45" s="372"/>
      <c r="I45" s="373">
        <f t="shared" si="0"/>
        <v>0</v>
      </c>
    </row>
    <row r="46" spans="1:9" ht="17" thickBot="1">
      <c r="A46" s="1859" t="s">
        <v>908</v>
      </c>
      <c r="B46" s="1860"/>
      <c r="C46" s="1861"/>
      <c r="D46" s="1862">
        <f>SUM(D44:D45)</f>
        <v>0</v>
      </c>
      <c r="E46" s="1862">
        <f>SUM(E44:E45)</f>
        <v>0</v>
      </c>
      <c r="F46" s="647">
        <f>SUM(F44:F45)</f>
        <v>0</v>
      </c>
      <c r="G46" s="369"/>
      <c r="H46" s="1832"/>
      <c r="I46" s="1833"/>
    </row>
    <row r="47" spans="1:9" ht="17" thickBot="1">
      <c r="A47" s="385"/>
      <c r="B47" s="385"/>
      <c r="C47" s="386"/>
      <c r="D47" s="381"/>
      <c r="E47" s="381"/>
      <c r="F47" s="381"/>
      <c r="G47" s="369"/>
      <c r="H47" s="1832"/>
      <c r="I47" s="1833"/>
    </row>
    <row r="48" spans="1:9" ht="16">
      <c r="A48" s="1841" t="s">
        <v>388</v>
      </c>
      <c r="B48" s="1842" t="str">
        <f>B43</f>
        <v>Kto. nr.</v>
      </c>
      <c r="C48" s="1843" t="s">
        <v>909</v>
      </c>
      <c r="D48" s="1849">
        <f>D43</f>
        <v>2025</v>
      </c>
      <c r="E48" s="1849">
        <f>E43</f>
        <v>2026</v>
      </c>
      <c r="F48" s="1850" t="str">
        <f>F43</f>
        <v>Ændringer til 2027</v>
      </c>
      <c r="G48" s="369"/>
      <c r="H48" s="1832"/>
      <c r="I48" s="1833"/>
    </row>
    <row r="49" spans="1:9" ht="16">
      <c r="A49" s="611">
        <v>1</v>
      </c>
      <c r="B49" s="463"/>
      <c r="C49" s="379" t="s">
        <v>910</v>
      </c>
      <c r="D49" s="366"/>
      <c r="E49" s="383"/>
      <c r="F49" s="1863"/>
      <c r="G49" s="369"/>
      <c r="H49" s="374"/>
      <c r="I49" s="375">
        <f t="shared" si="0"/>
        <v>0</v>
      </c>
    </row>
    <row r="50" spans="1:9" ht="16">
      <c r="A50" s="611">
        <v>2</v>
      </c>
      <c r="B50" s="466"/>
      <c r="C50" s="387" t="s">
        <v>911</v>
      </c>
      <c r="D50" s="366"/>
      <c r="E50" s="383"/>
      <c r="F50" s="1863"/>
      <c r="G50" s="369"/>
      <c r="H50" s="370"/>
      <c r="I50" s="371">
        <f t="shared" si="0"/>
        <v>0</v>
      </c>
    </row>
    <row r="51" spans="1:9" ht="16">
      <c r="A51" s="611">
        <v>3</v>
      </c>
      <c r="B51" s="466"/>
      <c r="C51" s="387"/>
      <c r="D51" s="366"/>
      <c r="E51" s="383"/>
      <c r="F51" s="1863"/>
      <c r="G51" s="369"/>
      <c r="H51" s="370"/>
      <c r="I51" s="371">
        <f t="shared" si="0"/>
        <v>0</v>
      </c>
    </row>
    <row r="52" spans="1:9" ht="16">
      <c r="A52" s="611">
        <v>4</v>
      </c>
      <c r="B52" s="466"/>
      <c r="C52" s="387"/>
      <c r="D52" s="366"/>
      <c r="E52" s="383"/>
      <c r="F52" s="1863"/>
      <c r="G52" s="369"/>
      <c r="H52" s="370"/>
      <c r="I52" s="371">
        <f t="shared" si="0"/>
        <v>0</v>
      </c>
    </row>
    <row r="53" spans="1:9" ht="16">
      <c r="A53" s="611">
        <v>5</v>
      </c>
      <c r="B53" s="463"/>
      <c r="C53" s="379"/>
      <c r="D53" s="366"/>
      <c r="E53" s="383"/>
      <c r="F53" s="1863"/>
      <c r="G53" s="369"/>
      <c r="H53" s="370"/>
      <c r="I53" s="371">
        <f t="shared" si="0"/>
        <v>0</v>
      </c>
    </row>
    <row r="54" spans="1:9" ht="17" thickBot="1">
      <c r="A54" s="611">
        <v>6</v>
      </c>
      <c r="B54" s="463"/>
      <c r="C54" s="383"/>
      <c r="D54" s="366"/>
      <c r="E54" s="383"/>
      <c r="F54" s="1692"/>
      <c r="G54" s="369"/>
      <c r="H54" s="372"/>
      <c r="I54" s="373">
        <f t="shared" si="0"/>
        <v>0</v>
      </c>
    </row>
    <row r="55" spans="1:9" ht="17" thickBot="1">
      <c r="A55" s="1864" t="s">
        <v>912</v>
      </c>
      <c r="B55" s="1865"/>
      <c r="C55" s="1866"/>
      <c r="D55" s="1867">
        <f>SUM(D49:D54)</f>
        <v>0</v>
      </c>
      <c r="E55" s="1868">
        <f>SUM(E49:E54)</f>
        <v>0</v>
      </c>
      <c r="F55" s="625">
        <f>SUM(F49:F54)</f>
        <v>0</v>
      </c>
      <c r="G55" s="369"/>
      <c r="H55" s="1832"/>
      <c r="I55" s="1833"/>
    </row>
    <row r="56" spans="1:9" ht="24" customHeight="1" thickBot="1">
      <c r="A56" s="1836" t="str">
        <f>"Varme, el, vand, rengøring og renovation  i alt til hovedskema lin. 49"</f>
        <v>Varme, el, vand, rengøring og renovation  i alt til hovedskema lin. 49</v>
      </c>
      <c r="B56" s="1837"/>
      <c r="C56" s="1838"/>
      <c r="D56" s="1839"/>
      <c r="E56" s="1840">
        <f>E38+E42+E46+E55</f>
        <v>0</v>
      </c>
      <c r="F56" s="920"/>
      <c r="G56" s="369"/>
      <c r="H56" s="1832"/>
      <c r="I56" s="1833"/>
    </row>
    <row r="57" spans="1:9" ht="17" thickBot="1">
      <c r="A57" s="388"/>
      <c r="B57" s="388"/>
      <c r="C57" s="369"/>
      <c r="D57" s="369"/>
      <c r="E57" s="369"/>
      <c r="F57" s="369"/>
      <c r="G57" s="369"/>
      <c r="H57" s="1832"/>
      <c r="I57" s="1833"/>
    </row>
    <row r="58" spans="1:9" ht="16">
      <c r="A58" s="1841" t="s">
        <v>388</v>
      </c>
      <c r="B58" s="1842" t="str">
        <f>B48</f>
        <v>Kto. nr.</v>
      </c>
      <c r="C58" s="1843" t="s">
        <v>913</v>
      </c>
      <c r="D58" s="1844">
        <f>budgetår-1</f>
        <v>2025</v>
      </c>
      <c r="E58" s="1845">
        <f>budgetår</f>
        <v>2026</v>
      </c>
      <c r="F58" s="1850" t="str">
        <f>F48</f>
        <v>Ændringer til 2027</v>
      </c>
      <c r="G58" s="369"/>
      <c r="H58" s="389"/>
      <c r="I58" s="390"/>
    </row>
    <row r="59" spans="1:9" ht="16">
      <c r="A59" s="611">
        <v>1</v>
      </c>
      <c r="B59" s="463"/>
      <c r="C59" s="379" t="s">
        <v>914</v>
      </c>
      <c r="D59" s="366"/>
      <c r="E59" s="1835"/>
      <c r="F59" s="1863"/>
      <c r="G59" s="369"/>
      <c r="H59" s="370"/>
      <c r="I59" s="371">
        <f t="shared" ref="I59:I64" si="1">E59*H59</f>
        <v>0</v>
      </c>
    </row>
    <row r="60" spans="1:9" ht="16">
      <c r="A60" s="611">
        <v>2</v>
      </c>
      <c r="B60" s="463"/>
      <c r="C60" s="379" t="s">
        <v>915</v>
      </c>
      <c r="D60" s="366"/>
      <c r="E60" s="383"/>
      <c r="F60" s="1863"/>
      <c r="G60" s="369"/>
      <c r="H60" s="370"/>
      <c r="I60" s="371">
        <f t="shared" si="1"/>
        <v>0</v>
      </c>
    </row>
    <row r="61" spans="1:9" ht="16">
      <c r="A61" s="611">
        <v>3</v>
      </c>
      <c r="B61" s="463"/>
      <c r="C61" s="379" t="s">
        <v>839</v>
      </c>
      <c r="D61" s="366"/>
      <c r="E61" s="383"/>
      <c r="F61" s="1863"/>
      <c r="G61" s="369"/>
      <c r="H61" s="370"/>
      <c r="I61" s="371">
        <f t="shared" si="1"/>
        <v>0</v>
      </c>
    </row>
    <row r="62" spans="1:9" ht="16">
      <c r="A62" s="611">
        <v>4</v>
      </c>
      <c r="B62" s="463"/>
      <c r="C62" s="379" t="s">
        <v>916</v>
      </c>
      <c r="D62" s="366"/>
      <c r="E62" s="383"/>
      <c r="F62" s="1863"/>
      <c r="G62" s="369"/>
      <c r="H62" s="370"/>
      <c r="I62" s="371">
        <f t="shared" si="1"/>
        <v>0</v>
      </c>
    </row>
    <row r="63" spans="1:9" ht="16">
      <c r="A63" s="611">
        <v>5</v>
      </c>
      <c r="B63" s="463"/>
      <c r="C63" s="383" t="s">
        <v>917</v>
      </c>
      <c r="D63" s="366"/>
      <c r="E63" s="383"/>
      <c r="F63" s="1863"/>
      <c r="G63" s="369"/>
      <c r="H63" s="370"/>
      <c r="I63" s="371">
        <f t="shared" si="1"/>
        <v>0</v>
      </c>
    </row>
    <row r="64" spans="1:9" ht="17" thickBot="1">
      <c r="A64" s="611">
        <v>6</v>
      </c>
      <c r="B64" s="463"/>
      <c r="C64" s="383" t="s">
        <v>918</v>
      </c>
      <c r="D64" s="366"/>
      <c r="E64" s="383"/>
      <c r="F64" s="1692"/>
      <c r="G64" s="369"/>
      <c r="H64" s="370"/>
      <c r="I64" s="371">
        <f t="shared" si="1"/>
        <v>0</v>
      </c>
    </row>
    <row r="65" spans="1:9" ht="17" thickBot="1">
      <c r="A65" s="1859" t="s">
        <v>919</v>
      </c>
      <c r="B65" s="1860"/>
      <c r="C65" s="1861"/>
      <c r="D65" s="1862">
        <f>SUM(D59:D64)</f>
        <v>0</v>
      </c>
      <c r="E65" s="1869">
        <f>SUM(E59:E64)</f>
        <v>0</v>
      </c>
      <c r="F65" s="921">
        <f>SUM(F59:F64)</f>
        <v>0</v>
      </c>
      <c r="G65" s="369"/>
      <c r="H65" s="389"/>
      <c r="I65" s="390"/>
    </row>
    <row r="66" spans="1:9" ht="17" thickBot="1">
      <c r="A66" s="1870"/>
      <c r="B66" s="385"/>
      <c r="C66" s="386"/>
      <c r="D66" s="1871"/>
      <c r="E66" s="1872"/>
      <c r="F66" s="381"/>
      <c r="G66" s="384"/>
      <c r="H66" s="389"/>
      <c r="I66" s="390"/>
    </row>
    <row r="67" spans="1:9" ht="16">
      <c r="A67" s="1841" t="s">
        <v>388</v>
      </c>
      <c r="B67" s="1842" t="str">
        <f>B58</f>
        <v>Kto. nr.</v>
      </c>
      <c r="C67" s="1843" t="s">
        <v>753</v>
      </c>
      <c r="D67" s="1844">
        <f>budgetår-1</f>
        <v>2025</v>
      </c>
      <c r="E67" s="1845">
        <f>budgetår</f>
        <v>2026</v>
      </c>
      <c r="F67" s="1850" t="str">
        <f>F58</f>
        <v>Ændringer til 2027</v>
      </c>
      <c r="G67" s="369"/>
      <c r="H67" s="389"/>
      <c r="I67" s="390"/>
    </row>
    <row r="68" spans="1:9" ht="16">
      <c r="A68" s="611">
        <v>1</v>
      </c>
      <c r="B68" s="463"/>
      <c r="C68" s="383" t="s">
        <v>863</v>
      </c>
      <c r="D68" s="366"/>
      <c r="E68" s="383"/>
      <c r="F68" s="1628"/>
      <c r="G68" s="369"/>
      <c r="H68" s="370"/>
      <c r="I68" s="371">
        <f>E68*H68</f>
        <v>0</v>
      </c>
    </row>
    <row r="69" spans="1:9" ht="16">
      <c r="A69" s="611">
        <v>2</v>
      </c>
      <c r="B69" s="463"/>
      <c r="C69" s="383" t="s">
        <v>920</v>
      </c>
      <c r="D69" s="366"/>
      <c r="E69" s="383"/>
      <c r="F69" s="1628"/>
      <c r="G69" s="369"/>
      <c r="H69" s="370"/>
      <c r="I69" s="371">
        <f>E69*H69</f>
        <v>0</v>
      </c>
    </row>
    <row r="70" spans="1:9" ht="16">
      <c r="A70" s="611">
        <v>3</v>
      </c>
      <c r="B70" s="463"/>
      <c r="C70" s="383"/>
      <c r="D70" s="366"/>
      <c r="E70" s="603"/>
      <c r="F70" s="1628"/>
      <c r="G70" s="369"/>
      <c r="H70" s="372"/>
      <c r="I70" s="373">
        <f>E70*H70</f>
        <v>0</v>
      </c>
    </row>
    <row r="71" spans="1:9" ht="17" thickBot="1">
      <c r="A71" s="1859" t="s">
        <v>921</v>
      </c>
      <c r="B71" s="1860"/>
      <c r="C71" s="1861"/>
      <c r="D71" s="1862">
        <f>SUM(D68:D70)</f>
        <v>0</v>
      </c>
      <c r="E71" s="1862">
        <f>SUM(E68:E70)</f>
        <v>0</v>
      </c>
      <c r="F71" s="645">
        <f>SUM(F68:F70)</f>
        <v>0</v>
      </c>
      <c r="G71" s="369"/>
      <c r="H71" s="1832"/>
      <c r="I71" s="1833"/>
    </row>
    <row r="72" spans="1:9" s="319" customFormat="1" ht="17" thickBot="1">
      <c r="A72" s="388"/>
      <c r="B72" s="388"/>
      <c r="C72" s="369"/>
      <c r="D72" s="369"/>
      <c r="E72" s="391"/>
      <c r="F72" s="384"/>
      <c r="G72" s="369"/>
      <c r="H72" s="1832"/>
      <c r="I72" s="1833"/>
    </row>
    <row r="73" spans="1:9" ht="20" customHeight="1">
      <c r="A73" s="1841" t="s">
        <v>388</v>
      </c>
      <c r="B73" s="1842" t="str">
        <f>B67</f>
        <v>Kto. nr.</v>
      </c>
      <c r="C73" s="1843" t="s">
        <v>922</v>
      </c>
      <c r="D73" s="1873" t="str">
        <f xml:space="preserve">
""&amp;budgetår-1</f>
        <v>2025</v>
      </c>
      <c r="E73" s="1873" t="str">
        <f xml:space="preserve">
""&amp;budgetår</f>
        <v>2026</v>
      </c>
      <c r="F73" s="1850" t="str">
        <f>F67</f>
        <v>Ændringer til 2027</v>
      </c>
      <c r="G73" s="369"/>
      <c r="H73" s="1832"/>
      <c r="I73" s="1833"/>
    </row>
    <row r="74" spans="1:9" ht="16">
      <c r="A74" s="611">
        <v>1</v>
      </c>
      <c r="B74" s="463"/>
      <c r="C74" s="383" t="s">
        <v>923</v>
      </c>
      <c r="D74" s="366"/>
      <c r="E74" s="1835"/>
      <c r="F74" s="1874"/>
      <c r="G74" s="369"/>
      <c r="H74" s="374"/>
      <c r="I74" s="375">
        <f>E74*H74</f>
        <v>0</v>
      </c>
    </row>
    <row r="75" spans="1:9" ht="16">
      <c r="A75" s="611">
        <v>2</v>
      </c>
      <c r="B75" s="463"/>
      <c r="C75" s="383"/>
      <c r="D75" s="366"/>
      <c r="E75" s="383"/>
      <c r="F75" s="1874"/>
      <c r="G75" s="369"/>
      <c r="H75" s="372"/>
      <c r="I75" s="373">
        <f>E75*H75</f>
        <v>0</v>
      </c>
    </row>
    <row r="76" spans="1:9" ht="17" thickBot="1">
      <c r="A76" s="1859" t="s">
        <v>924</v>
      </c>
      <c r="B76" s="1860"/>
      <c r="C76" s="1861"/>
      <c r="D76" s="1862">
        <f>SUM(D74:D75)</f>
        <v>0</v>
      </c>
      <c r="E76" s="1862">
        <f>SUM(E74:E75)</f>
        <v>0</v>
      </c>
      <c r="F76" s="645">
        <f>SUM(F74:F75)</f>
        <v>0</v>
      </c>
      <c r="G76" s="369"/>
      <c r="H76" s="1832"/>
      <c r="I76" s="1833"/>
    </row>
    <row r="77" spans="1:9" s="319" customFormat="1" ht="17" thickBot="1">
      <c r="A77" s="385"/>
      <c r="B77" s="385"/>
      <c r="C77" s="386"/>
      <c r="D77" s="381"/>
      <c r="E77" s="381"/>
      <c r="F77" s="381"/>
      <c r="G77" s="384"/>
      <c r="H77" s="1832"/>
      <c r="I77" s="1833"/>
    </row>
    <row r="78" spans="1:9" ht="21" customHeight="1">
      <c r="A78" s="1841" t="s">
        <v>388</v>
      </c>
      <c r="B78" s="1842" t="str">
        <f>B73</f>
        <v>Kto. nr.</v>
      </c>
      <c r="C78" s="1843" t="s">
        <v>730</v>
      </c>
      <c r="D78" s="1873" t="str">
        <f>D73</f>
        <v>2025</v>
      </c>
      <c r="E78" s="1873" t="str">
        <f>E73</f>
        <v>2026</v>
      </c>
      <c r="F78" s="1850" t="str">
        <f>F73</f>
        <v>Ændringer til 2027</v>
      </c>
      <c r="G78" s="369"/>
      <c r="H78" s="1832"/>
      <c r="I78" s="1833"/>
    </row>
    <row r="79" spans="1:9" ht="16">
      <c r="A79" s="611">
        <v>1</v>
      </c>
      <c r="B79" s="463"/>
      <c r="C79" s="383"/>
      <c r="D79" s="366"/>
      <c r="E79" s="624"/>
      <c r="F79" s="1874"/>
      <c r="G79" s="369"/>
      <c r="H79" s="374"/>
      <c r="I79" s="375">
        <f>E79*H79</f>
        <v>0</v>
      </c>
    </row>
    <row r="80" spans="1:9" ht="16">
      <c r="A80" s="611">
        <v>2</v>
      </c>
      <c r="B80" s="463"/>
      <c r="C80" s="383"/>
      <c r="D80" s="366"/>
      <c r="E80" s="383"/>
      <c r="F80" s="1874"/>
      <c r="G80" s="369"/>
      <c r="H80" s="372"/>
      <c r="I80" s="373">
        <f>E80*H80</f>
        <v>0</v>
      </c>
    </row>
    <row r="81" spans="1:9" ht="17" thickBot="1">
      <c r="A81" s="1859" t="s">
        <v>732</v>
      </c>
      <c r="B81" s="1860"/>
      <c r="C81" s="1861"/>
      <c r="D81" s="1862">
        <f>SUM(D79:D80)</f>
        <v>0</v>
      </c>
      <c r="E81" s="1862">
        <f>SUM(E79:E80)</f>
        <v>0</v>
      </c>
      <c r="F81" s="645">
        <f>SUM(F79:F80)</f>
        <v>0</v>
      </c>
      <c r="G81" s="369"/>
      <c r="H81" s="1832"/>
      <c r="I81" s="1833"/>
    </row>
    <row r="82" spans="1:9" s="319" customFormat="1" ht="17" thickBot="1">
      <c r="A82" s="1875"/>
      <c r="B82" s="392"/>
      <c r="C82" s="336"/>
      <c r="D82" s="1876"/>
      <c r="E82" s="1876"/>
      <c r="F82" s="381"/>
      <c r="G82" s="369"/>
      <c r="H82" s="1832"/>
      <c r="I82" s="1833"/>
    </row>
    <row r="83" spans="1:9" ht="16" customHeight="1">
      <c r="A83" s="1841" t="s">
        <v>388</v>
      </c>
      <c r="B83" s="1842" t="str">
        <f>B78</f>
        <v>Kto. nr.</v>
      </c>
      <c r="C83" s="1843" t="s">
        <v>733</v>
      </c>
      <c r="D83" s="1844">
        <f>budgetår-1</f>
        <v>2025</v>
      </c>
      <c r="E83" s="1845">
        <f>budgetår</f>
        <v>2026</v>
      </c>
      <c r="F83" s="1850" t="str">
        <f>F78</f>
        <v>Ændringer til 2027</v>
      </c>
      <c r="G83" s="369"/>
      <c r="H83" s="1832"/>
      <c r="I83" s="1833"/>
    </row>
    <row r="84" spans="1:9" ht="16">
      <c r="A84" s="611">
        <v>1</v>
      </c>
      <c r="B84" s="463"/>
      <c r="C84" s="379" t="s">
        <v>853</v>
      </c>
      <c r="D84" s="366"/>
      <c r="E84" s="1835"/>
      <c r="F84" s="1874"/>
      <c r="G84" s="369"/>
      <c r="H84" s="374"/>
      <c r="I84" s="375">
        <f>E84*H84</f>
        <v>0</v>
      </c>
    </row>
    <row r="85" spans="1:9" ht="16">
      <c r="A85" s="611">
        <v>2</v>
      </c>
      <c r="B85" s="463"/>
      <c r="C85" s="379" t="s">
        <v>854</v>
      </c>
      <c r="D85" s="366"/>
      <c r="E85" s="383"/>
      <c r="F85" s="1874"/>
      <c r="G85" s="369"/>
      <c r="H85" s="370"/>
      <c r="I85" s="371">
        <f>E85*H85</f>
        <v>0</v>
      </c>
    </row>
    <row r="86" spans="1:9" ht="16">
      <c r="A86" s="611">
        <v>3</v>
      </c>
      <c r="B86" s="463"/>
      <c r="C86" s="383"/>
      <c r="D86" s="366"/>
      <c r="E86" s="383"/>
      <c r="F86" s="1874"/>
      <c r="G86" s="369"/>
      <c r="H86" s="370"/>
      <c r="I86" s="371">
        <f>E86*H86</f>
        <v>0</v>
      </c>
    </row>
    <row r="87" spans="1:9" ht="16">
      <c r="A87" s="611">
        <v>4</v>
      </c>
      <c r="B87" s="463"/>
      <c r="C87" s="383"/>
      <c r="D87" s="366"/>
      <c r="E87" s="383"/>
      <c r="F87" s="1874"/>
      <c r="G87" s="369"/>
      <c r="H87" s="370"/>
      <c r="I87" s="371">
        <f>E87*H87</f>
        <v>0</v>
      </c>
    </row>
    <row r="88" spans="1:9" ht="16">
      <c r="A88" s="1851" t="s">
        <v>925</v>
      </c>
      <c r="B88" s="1852"/>
      <c r="C88" s="1853"/>
      <c r="D88" s="1823">
        <f>SUM(D84:D87)</f>
        <v>0</v>
      </c>
      <c r="E88" s="1823">
        <f>SUM(E84:E87)</f>
        <v>0</v>
      </c>
      <c r="F88" s="1877">
        <f>SUM(F84:F87)</f>
        <v>0</v>
      </c>
      <c r="G88" s="369"/>
      <c r="H88" s="389"/>
      <c r="I88" s="390"/>
    </row>
    <row r="89" spans="1:9" ht="17" thickBot="1">
      <c r="A89" s="1859" t="s">
        <v>926</v>
      </c>
      <c r="B89" s="1860"/>
      <c r="C89" s="1861"/>
      <c r="D89" s="1862"/>
      <c r="E89" s="1862">
        <f>E88+E81+E76+E71</f>
        <v>0</v>
      </c>
      <c r="F89" s="648"/>
      <c r="G89" s="369"/>
      <c r="H89" s="389"/>
      <c r="I89" s="390"/>
    </row>
    <row r="90" spans="1:9" ht="17" thickBot="1">
      <c r="A90" s="1870"/>
      <c r="B90" s="385"/>
      <c r="C90" s="386"/>
      <c r="D90" s="1871"/>
      <c r="E90" s="1872"/>
      <c r="F90" s="381"/>
      <c r="G90" s="384"/>
      <c r="H90" s="389"/>
      <c r="I90" s="390"/>
    </row>
    <row r="91" spans="1:9" ht="17" thickBot="1">
      <c r="A91" s="1878" t="s">
        <v>388</v>
      </c>
      <c r="B91" s="922" t="str">
        <f>B83</f>
        <v>Kto. nr.</v>
      </c>
      <c r="C91" s="1879" t="s">
        <v>927</v>
      </c>
      <c r="D91" s="1880">
        <f>budgetår-1</f>
        <v>2025</v>
      </c>
      <c r="E91" s="1881">
        <f>budgetår</f>
        <v>2026</v>
      </c>
      <c r="F91" s="1850" t="str">
        <f>F83</f>
        <v>Ændringer til 2027</v>
      </c>
      <c r="G91" s="369"/>
      <c r="H91" s="1832"/>
      <c r="I91" s="1833"/>
    </row>
    <row r="92" spans="1:9" ht="16">
      <c r="A92" s="1882">
        <v>1</v>
      </c>
      <c r="B92" s="1883"/>
      <c r="C92" s="1884" t="s">
        <v>928</v>
      </c>
      <c r="D92" s="1885"/>
      <c r="E92" s="1886"/>
      <c r="F92" s="1628"/>
      <c r="G92" s="369"/>
      <c r="H92" s="374"/>
      <c r="I92" s="375">
        <f>E92*H92</f>
        <v>0</v>
      </c>
    </row>
    <row r="93" spans="1:9" ht="16">
      <c r="A93" s="610">
        <v>2</v>
      </c>
      <c r="B93" s="465"/>
      <c r="C93" s="393"/>
      <c r="D93" s="394"/>
      <c r="E93" s="394"/>
      <c r="F93" s="1628"/>
      <c r="G93" s="369"/>
      <c r="H93" s="370"/>
      <c r="I93" s="371">
        <f>E93*H93</f>
        <v>0</v>
      </c>
    </row>
    <row r="94" spans="1:9" ht="16">
      <c r="A94" s="611">
        <v>3</v>
      </c>
      <c r="B94" s="463"/>
      <c r="C94" s="383"/>
      <c r="D94" s="366"/>
      <c r="E94" s="394"/>
      <c r="F94" s="1628"/>
      <c r="G94" s="369"/>
      <c r="H94" s="370"/>
      <c r="I94" s="371">
        <f>E94*H94</f>
        <v>0</v>
      </c>
    </row>
    <row r="95" spans="1:9" ht="16">
      <c r="A95" s="611">
        <v>4</v>
      </c>
      <c r="B95" s="463"/>
      <c r="C95" s="383"/>
      <c r="D95" s="366"/>
      <c r="E95" s="383"/>
      <c r="F95" s="1628"/>
      <c r="G95" s="369"/>
      <c r="H95" s="370"/>
      <c r="I95" s="371">
        <f>E95*H95</f>
        <v>0</v>
      </c>
    </row>
    <row r="96" spans="1:9" ht="17" thickBot="1">
      <c r="A96" s="395">
        <v>5</v>
      </c>
      <c r="B96" s="464"/>
      <c r="C96" s="396"/>
      <c r="D96" s="397"/>
      <c r="E96" s="396"/>
      <c r="F96" s="1628"/>
      <c r="G96" s="369"/>
      <c r="H96" s="370"/>
      <c r="I96" s="371">
        <f>E96*H96</f>
        <v>0</v>
      </c>
    </row>
    <row r="97" spans="1:9" ht="17" thickBot="1">
      <c r="A97" s="1887" t="s">
        <v>929</v>
      </c>
      <c r="B97" s="1888"/>
      <c r="C97" s="1889"/>
      <c r="D97" s="1890">
        <f>SUM(D92:D96)</f>
        <v>0</v>
      </c>
      <c r="E97" s="1891">
        <f>SUM(E92:E96)</f>
        <v>0</v>
      </c>
      <c r="F97" s="645">
        <f>SUM(F92:F96)</f>
        <v>0</v>
      </c>
      <c r="G97" s="369"/>
      <c r="H97" s="3433" t="s">
        <v>930</v>
      </c>
      <c r="I97" s="3435">
        <f>SUM(I11:I96)</f>
        <v>0</v>
      </c>
    </row>
    <row r="98" spans="1:9" ht="29" customHeight="1" thickBot="1">
      <c r="A98" s="1836" t="s">
        <v>931</v>
      </c>
      <c r="B98" s="1837"/>
      <c r="C98" s="1837"/>
      <c r="D98" s="1839"/>
      <c r="E98" s="1892">
        <f>E97</f>
        <v>0</v>
      </c>
      <c r="F98" s="920"/>
      <c r="G98" s="369"/>
      <c r="H98" s="3434"/>
      <c r="I98" s="3436"/>
    </row>
    <row r="100" spans="1:9" ht="20">
      <c r="A100"/>
      <c r="B100"/>
      <c r="E100" s="4"/>
      <c r="F100" s="2"/>
    </row>
  </sheetData>
  <sheetProtection sheet="1" objects="1" scenarios="1" formatCells="0" formatColumns="0" formatRows="0" insertColumns="0" selectLockedCells="1"/>
  <mergeCells count="4">
    <mergeCell ref="H97:H98"/>
    <mergeCell ref="I97:I98"/>
    <mergeCell ref="H2:I2"/>
    <mergeCell ref="A2:C2"/>
  </mergeCells>
  <phoneticPr fontId="55" type="noConversion"/>
  <printOptions horizontalCentered="1"/>
  <pageMargins left="0.79" right="0.67" top="0.98" bottom="0.83" header="0.51" footer="0.51"/>
  <pageSetup paperSize="9" scale="54" fitToHeight="0" orientation="portrait"/>
  <headerFooter alignWithMargins="0">
    <oddHeader>&amp;C&amp;"Arial,Fed"&amp;12UDGIFTER VEDR. BYGNINGER</oddHeader>
    <oddFooter>&amp;L&amp;G&amp;R
&amp;D
&amp;A</oddFooter>
  </headerFooter>
  <rowBreaks count="1" manualBreakCount="1">
    <brk id="56" max="16383" man="1"/>
  </rowBreaks>
  <colBreaks count="1" manualBreakCount="1">
    <brk id="9" max="1048575" man="1"/>
  </colBreaks>
  <drawing r:id="rId1"/>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Ark11">
    <tabColor rgb="FFFFFF00"/>
    <pageSetUpPr fitToPage="1"/>
  </sheetPr>
  <dimension ref="A1:G46"/>
  <sheetViews>
    <sheetView zoomScaleNormal="100" zoomScaleSheetLayoutView="100" workbookViewId="0">
      <selection activeCell="G43" sqref="G43"/>
    </sheetView>
  </sheetViews>
  <sheetFormatPr baseColWidth="10" defaultColWidth="11.5" defaultRowHeight="13"/>
  <cols>
    <col min="1" max="1" width="4.5" customWidth="1"/>
    <col min="2" max="2" width="9.5" style="182" customWidth="1"/>
    <col min="3" max="3" width="49.5" customWidth="1"/>
    <col min="4" max="4" width="17.5" customWidth="1"/>
    <col min="5" max="5" width="20.1640625" customWidth="1"/>
    <col min="6" max="6" width="23.5" customWidth="1"/>
    <col min="7" max="7" width="12" customWidth="1"/>
  </cols>
  <sheetData>
    <row r="1" spans="1:7" s="98" customFormat="1" ht="25.5" customHeight="1" thickBot="1">
      <c r="A1" s="900"/>
      <c r="B1" s="923"/>
      <c r="C1" s="900"/>
      <c r="D1" s="900"/>
      <c r="E1" s="900"/>
      <c r="F1" s="900"/>
      <c r="G1" s="900"/>
    </row>
    <row r="2" spans="1:7" ht="50" customHeight="1" thickBot="1">
      <c r="A2" s="3444" t="s">
        <v>932</v>
      </c>
      <c r="B2" s="3445"/>
      <c r="C2" s="3445"/>
      <c r="D2" s="1811" t="s">
        <v>681</v>
      </c>
      <c r="E2" s="1893" t="s">
        <v>682</v>
      </c>
      <c r="F2" s="1894" t="str">
        <f>"Ændring "&amp;E3+1&amp;" i forhold til "&amp;E3&amp;""</f>
        <v>Ændring 2027 i forhold til 2026</v>
      </c>
    </row>
    <row r="3" spans="1:7" ht="16">
      <c r="A3" s="1895" t="s">
        <v>388</v>
      </c>
      <c r="B3" s="1896" t="s">
        <v>827</v>
      </c>
      <c r="C3" s="1897" t="s">
        <v>933</v>
      </c>
      <c r="D3" s="1817">
        <f>budgetår-1</f>
        <v>2025</v>
      </c>
      <c r="E3" s="1818">
        <f>budgetår</f>
        <v>2026</v>
      </c>
      <c r="F3" s="1898" t="s">
        <v>934</v>
      </c>
      <c r="G3" s="32"/>
    </row>
    <row r="4" spans="1:7" ht="16">
      <c r="A4" s="407">
        <v>1</v>
      </c>
      <c r="B4" s="466"/>
      <c r="C4" s="408"/>
      <c r="D4" s="408"/>
      <c r="E4" s="626"/>
      <c r="F4" s="1899"/>
    </row>
    <row r="5" spans="1:7" ht="16">
      <c r="A5" s="407">
        <v>2</v>
      </c>
      <c r="B5" s="466"/>
      <c r="C5" s="365"/>
      <c r="D5" s="408"/>
      <c r="E5" s="626"/>
      <c r="F5" s="1899"/>
      <c r="G5" s="32"/>
    </row>
    <row r="6" spans="1:7" ht="16">
      <c r="A6" s="407">
        <v>3</v>
      </c>
      <c r="B6" s="466"/>
      <c r="C6" s="365"/>
      <c r="D6" s="408"/>
      <c r="E6" s="626"/>
      <c r="F6" s="1899"/>
      <c r="G6" s="32"/>
    </row>
    <row r="7" spans="1:7" ht="16">
      <c r="A7" s="407">
        <v>4</v>
      </c>
      <c r="B7" s="466"/>
      <c r="C7" s="365"/>
      <c r="D7" s="408"/>
      <c r="E7" s="626"/>
      <c r="F7" s="1899"/>
      <c r="G7" s="32"/>
    </row>
    <row r="8" spans="1:7" ht="16">
      <c r="A8" s="407">
        <v>5</v>
      </c>
      <c r="B8" s="466"/>
      <c r="C8" s="408"/>
      <c r="D8" s="408"/>
      <c r="E8" s="626"/>
      <c r="F8" s="1899"/>
      <c r="G8" s="32"/>
    </row>
    <row r="9" spans="1:7" ht="17" thickBot="1">
      <c r="A9" s="407">
        <v>6</v>
      </c>
      <c r="B9" s="466"/>
      <c r="C9" s="409" t="s">
        <v>935</v>
      </c>
      <c r="D9" s="408"/>
      <c r="E9" s="626"/>
      <c r="F9" s="1900"/>
    </row>
    <row r="10" spans="1:7" ht="17" thickBot="1">
      <c r="A10" s="1901" t="str">
        <f>"SUM, "&amp;LOWER(C3)</f>
        <v>SUM, madvarer</v>
      </c>
      <c r="B10" s="1865"/>
      <c r="C10" s="1902"/>
      <c r="D10" s="1903">
        <f>SUM(D4:D9)</f>
        <v>0</v>
      </c>
      <c r="E10" s="1903">
        <f>SUM(E4:E9)</f>
        <v>0</v>
      </c>
      <c r="F10" s="1903">
        <f>SUM(F4:F9)</f>
        <v>0</v>
      </c>
    </row>
    <row r="11" spans="1:7" ht="16">
      <c r="A11" s="1904" t="s">
        <v>388</v>
      </c>
      <c r="B11" s="1905" t="str">
        <f>B3</f>
        <v>Kto. nr.</v>
      </c>
      <c r="C11" s="1829" t="s">
        <v>936</v>
      </c>
      <c r="D11" s="1830">
        <f>budgetår-1</f>
        <v>2025</v>
      </c>
      <c r="E11" s="1831">
        <f>budgetår</f>
        <v>2026</v>
      </c>
      <c r="F11" s="1906" t="s">
        <v>934</v>
      </c>
    </row>
    <row r="12" spans="1:7" ht="16">
      <c r="A12" s="407">
        <v>1</v>
      </c>
      <c r="B12" s="466"/>
      <c r="C12" s="365"/>
      <c r="D12" s="408"/>
      <c r="E12" s="626"/>
      <c r="F12" s="1899"/>
    </row>
    <row r="13" spans="1:7" ht="16">
      <c r="A13" s="407">
        <v>2</v>
      </c>
      <c r="B13" s="466"/>
      <c r="C13" s="408"/>
      <c r="D13" s="408"/>
      <c r="E13" s="626"/>
      <c r="F13" s="1899"/>
    </row>
    <row r="14" spans="1:7" ht="17" thickBot="1">
      <c r="A14" s="407">
        <v>3</v>
      </c>
      <c r="B14" s="466"/>
      <c r="C14" s="408"/>
      <c r="D14" s="408"/>
      <c r="E14" s="626"/>
      <c r="F14" s="1900"/>
    </row>
    <row r="15" spans="1:7" ht="17" thickBot="1">
      <c r="A15" s="1901" t="str">
        <f>"SUM, "&amp;LOWER(C11)</f>
        <v>SUM, fritidsaktiviteter/weekendarrangementer</v>
      </c>
      <c r="B15" s="1865"/>
      <c r="C15" s="1902"/>
      <c r="D15" s="1903">
        <f>SUM(D12:D14)</f>
        <v>0</v>
      </c>
      <c r="E15" s="1903">
        <f t="shared" ref="E15:F15" si="0">SUM(E12:E14)</f>
        <v>0</v>
      </c>
      <c r="F15" s="1903">
        <f t="shared" si="0"/>
        <v>0</v>
      </c>
    </row>
    <row r="16" spans="1:7" ht="16">
      <c r="A16" s="1904" t="s">
        <v>388</v>
      </c>
      <c r="B16" s="1905" t="str">
        <f>B11</f>
        <v>Kto. nr.</v>
      </c>
      <c r="C16" s="1829" t="s">
        <v>922</v>
      </c>
      <c r="D16" s="1830">
        <f>budgetår-1</f>
        <v>2025</v>
      </c>
      <c r="E16" s="1831">
        <f>budgetår</f>
        <v>2026</v>
      </c>
      <c r="F16" s="1907" t="s">
        <v>934</v>
      </c>
    </row>
    <row r="17" spans="1:7" ht="16">
      <c r="A17" s="407">
        <v>1</v>
      </c>
      <c r="B17" s="466"/>
      <c r="C17" s="408"/>
      <c r="D17" s="366"/>
      <c r="E17" s="383"/>
      <c r="F17" s="1899"/>
    </row>
    <row r="18" spans="1:7" ht="17" thickBot="1">
      <c r="A18" s="407">
        <v>2</v>
      </c>
      <c r="B18" s="466"/>
      <c r="C18" s="408"/>
      <c r="D18" s="408"/>
      <c r="E18" s="626"/>
      <c r="F18" s="1900"/>
    </row>
    <row r="19" spans="1:7" ht="17" thickBot="1">
      <c r="A19" s="1901" t="str">
        <f>"SUM, "&amp;LOWER(C16)</f>
        <v>SUM, kurser</v>
      </c>
      <c r="B19" s="1865"/>
      <c r="C19" s="1902"/>
      <c r="D19" s="1903">
        <f>SUM(D17:D18)</f>
        <v>0</v>
      </c>
      <c r="E19" s="1903">
        <f t="shared" ref="E19:F19" si="1">SUM(E17:E18)</f>
        <v>0</v>
      </c>
      <c r="F19" s="1903">
        <f t="shared" si="1"/>
        <v>0</v>
      </c>
    </row>
    <row r="20" spans="1:7" ht="16">
      <c r="A20" s="1904" t="s">
        <v>388</v>
      </c>
      <c r="B20" s="1905" t="str">
        <f>B16</f>
        <v>Kto. nr.</v>
      </c>
      <c r="C20" s="1829" t="s">
        <v>730</v>
      </c>
      <c r="D20" s="1830">
        <f>budgetår-1</f>
        <v>2025</v>
      </c>
      <c r="E20" s="1831">
        <f>budgetår</f>
        <v>2026</v>
      </c>
      <c r="F20" s="1907" t="s">
        <v>934</v>
      </c>
    </row>
    <row r="21" spans="1:7" ht="16">
      <c r="A21" s="407">
        <v>1</v>
      </c>
      <c r="B21" s="466"/>
      <c r="C21" s="365"/>
      <c r="D21" s="408"/>
      <c r="E21" s="626"/>
      <c r="F21" s="1899"/>
    </row>
    <row r="22" spans="1:7" ht="16">
      <c r="A22" s="407">
        <v>2</v>
      </c>
      <c r="B22" s="466"/>
      <c r="C22" s="365"/>
      <c r="D22" s="408"/>
      <c r="E22" s="626"/>
      <c r="F22" s="1899"/>
      <c r="G22" s="32"/>
    </row>
    <row r="23" spans="1:7" ht="16">
      <c r="A23" s="407">
        <v>3</v>
      </c>
      <c r="B23" s="466"/>
      <c r="C23" s="365"/>
      <c r="D23" s="408"/>
      <c r="E23" s="626"/>
      <c r="F23" s="1899"/>
      <c r="G23" s="32"/>
    </row>
    <row r="24" spans="1:7" ht="16">
      <c r="A24" s="407">
        <v>4</v>
      </c>
      <c r="B24" s="466"/>
      <c r="C24" s="365"/>
      <c r="D24" s="408"/>
      <c r="E24" s="626"/>
      <c r="F24" s="1899"/>
      <c r="G24" s="32"/>
    </row>
    <row r="25" spans="1:7" ht="16">
      <c r="A25" s="407">
        <v>5</v>
      </c>
      <c r="B25" s="466"/>
      <c r="C25" s="408"/>
      <c r="D25" s="408"/>
      <c r="E25" s="626"/>
      <c r="F25" s="1899"/>
      <c r="G25" s="32"/>
    </row>
    <row r="26" spans="1:7" ht="17" thickBot="1">
      <c r="A26" s="407">
        <v>6</v>
      </c>
      <c r="B26" s="474"/>
      <c r="C26" s="410"/>
      <c r="D26" s="408"/>
      <c r="E26" s="626"/>
      <c r="F26" s="1900"/>
      <c r="G26" s="32"/>
    </row>
    <row r="27" spans="1:7" ht="17" thickBot="1">
      <c r="A27" s="1901" t="str">
        <f>"SUM, "&amp;LOWER(C20)</f>
        <v>SUM, tjenesterejser</v>
      </c>
      <c r="B27" s="1865"/>
      <c r="C27" s="1902"/>
      <c r="D27" s="1903">
        <f>SUM(D21:D26)</f>
        <v>0</v>
      </c>
      <c r="E27" s="1903">
        <f t="shared" ref="E27:F27" si="2">SUM(E21:E26)</f>
        <v>0</v>
      </c>
      <c r="F27" s="1903">
        <f t="shared" si="2"/>
        <v>0</v>
      </c>
      <c r="G27" s="32"/>
    </row>
    <row r="28" spans="1:7" ht="16">
      <c r="A28" s="1904" t="s">
        <v>388</v>
      </c>
      <c r="B28" s="1905" t="str">
        <f>B20</f>
        <v>Kto. nr.</v>
      </c>
      <c r="C28" s="1854" t="s">
        <v>733</v>
      </c>
      <c r="D28" s="1830">
        <f>budgetår-1</f>
        <v>2025</v>
      </c>
      <c r="E28" s="1831">
        <f>budgetår</f>
        <v>2026</v>
      </c>
      <c r="F28" s="1907" t="s">
        <v>934</v>
      </c>
      <c r="G28" s="32"/>
    </row>
    <row r="29" spans="1:7" ht="16">
      <c r="A29" s="407">
        <v>1</v>
      </c>
      <c r="B29" s="466"/>
      <c r="C29" s="408" t="s">
        <v>853</v>
      </c>
      <c r="D29" s="408"/>
      <c r="E29" s="626"/>
      <c r="F29" s="1899"/>
      <c r="G29" s="32"/>
    </row>
    <row r="30" spans="1:7" ht="16">
      <c r="A30" s="407">
        <v>2</v>
      </c>
      <c r="B30" s="466"/>
      <c r="C30" s="408" t="s">
        <v>854</v>
      </c>
      <c r="D30" s="408"/>
      <c r="E30" s="626"/>
      <c r="F30" s="1899"/>
      <c r="G30" s="32"/>
    </row>
    <row r="31" spans="1:7" ht="16">
      <c r="A31" s="407">
        <v>3</v>
      </c>
      <c r="B31" s="466"/>
      <c r="C31" s="408" t="s">
        <v>201</v>
      </c>
      <c r="D31" s="408"/>
      <c r="E31" s="626"/>
      <c r="F31" s="1899"/>
      <c r="G31" s="32"/>
    </row>
    <row r="32" spans="1:7" ht="16">
      <c r="A32" s="407">
        <v>4</v>
      </c>
      <c r="B32" s="466"/>
      <c r="C32" s="408" t="s">
        <v>740</v>
      </c>
      <c r="D32" s="408"/>
      <c r="E32" s="626"/>
      <c r="F32" s="1899"/>
      <c r="G32" s="32"/>
    </row>
    <row r="33" spans="1:7" ht="16">
      <c r="A33" s="407">
        <v>5</v>
      </c>
      <c r="B33" s="466"/>
      <c r="C33" s="408"/>
      <c r="D33" s="408"/>
      <c r="E33" s="626"/>
      <c r="F33" s="1899"/>
      <c r="G33" s="32"/>
    </row>
    <row r="34" spans="1:7" ht="17" thickBot="1">
      <c r="A34" s="407">
        <v>6</v>
      </c>
      <c r="B34" s="466"/>
      <c r="C34" s="408"/>
      <c r="D34" s="408"/>
      <c r="E34" s="626"/>
      <c r="F34" s="1900"/>
      <c r="G34" s="32"/>
    </row>
    <row r="35" spans="1:7" ht="17" thickBot="1">
      <c r="A35" s="1901" t="str">
        <f>"SUM, "&amp;LOWER(C28)</f>
        <v>SUM, inventar og udstyr</v>
      </c>
      <c r="B35" s="1865"/>
      <c r="C35" s="1902"/>
      <c r="D35" s="1903">
        <f>SUM(D29:D34)</f>
        <v>0</v>
      </c>
      <c r="E35" s="1903">
        <f t="shared" ref="E35" si="3">SUM(E29:E34)</f>
        <v>0</v>
      </c>
      <c r="F35" s="1903">
        <f>SUM(F29:F34)</f>
        <v>0</v>
      </c>
      <c r="G35" s="32"/>
    </row>
    <row r="36" spans="1:7" ht="16">
      <c r="A36" s="1904" t="s">
        <v>388</v>
      </c>
      <c r="B36" s="1905" t="str">
        <f>B28</f>
        <v>Kto. nr.</v>
      </c>
      <c r="C36" s="1854" t="s">
        <v>937</v>
      </c>
      <c r="D36" s="1830">
        <f>budgetår-1</f>
        <v>2025</v>
      </c>
      <c r="E36" s="1831">
        <f>budgetår</f>
        <v>2026</v>
      </c>
      <c r="F36" s="1907" t="s">
        <v>934</v>
      </c>
    </row>
    <row r="37" spans="1:7" ht="16">
      <c r="A37" s="407">
        <v>1</v>
      </c>
      <c r="B37" s="466"/>
      <c r="C37" s="366"/>
      <c r="D37" s="366"/>
      <c r="E37" s="383"/>
      <c r="F37" s="1627"/>
    </row>
    <row r="38" spans="1:7" ht="17" thickBot="1">
      <c r="A38" s="407">
        <v>2</v>
      </c>
      <c r="B38" s="466"/>
      <c r="C38" s="366"/>
      <c r="D38" s="366"/>
      <c r="E38" s="383"/>
      <c r="F38" s="1847"/>
    </row>
    <row r="39" spans="1:7" ht="17" thickBot="1">
      <c r="A39" s="1901" t="str">
        <f>"SUM, "&amp;LOWER(C32)</f>
        <v>SUM, afskrivning</v>
      </c>
      <c r="B39" s="1865"/>
      <c r="C39" s="1902" t="s">
        <v>860</v>
      </c>
      <c r="D39" s="1903">
        <f>SUM(D37:D38)</f>
        <v>0</v>
      </c>
      <c r="E39" s="1903">
        <f t="shared" ref="E39:F39" si="4">SUM(E37:E38)</f>
        <v>0</v>
      </c>
      <c r="F39" s="1903">
        <f t="shared" si="4"/>
        <v>0</v>
      </c>
      <c r="G39" s="32"/>
    </row>
    <row r="40" spans="1:7" ht="31" customHeight="1" thickBot="1">
      <c r="A40" s="3441" t="s">
        <v>938</v>
      </c>
      <c r="B40" s="3442"/>
      <c r="C40" s="3443"/>
      <c r="D40" s="1908">
        <f>D39+D35+D27+D19+D15+D10</f>
        <v>0</v>
      </c>
      <c r="E40" s="1908">
        <f>E39+E35+E27+E19+E15+E10</f>
        <v>0</v>
      </c>
      <c r="F40" s="1908">
        <f>F39+F35+F27+F19+F15+F10</f>
        <v>0</v>
      </c>
    </row>
    <row r="41" spans="1:7" ht="17" thickBot="1">
      <c r="A41" s="369"/>
      <c r="B41" s="444"/>
      <c r="C41" s="369"/>
      <c r="D41" s="369"/>
      <c r="E41" s="369"/>
      <c r="F41" s="1909"/>
    </row>
    <row r="42" spans="1:7" ht="16">
      <c r="A42" s="1910" t="s">
        <v>388</v>
      </c>
      <c r="B42" s="1911" t="str">
        <f>B36</f>
        <v>Kto. nr.</v>
      </c>
      <c r="C42" s="1912" t="s">
        <v>939</v>
      </c>
      <c r="D42" s="1844">
        <f>budgetår-1</f>
        <v>2025</v>
      </c>
      <c r="E42" s="1845">
        <f>budgetår</f>
        <v>2026</v>
      </c>
      <c r="F42" s="1907" t="s">
        <v>934</v>
      </c>
    </row>
    <row r="43" spans="1:7" ht="16">
      <c r="A43" s="611">
        <v>1</v>
      </c>
      <c r="B43" s="466"/>
      <c r="C43" s="365"/>
      <c r="D43" s="411"/>
      <c r="E43" s="627"/>
      <c r="F43" s="1628"/>
    </row>
    <row r="44" spans="1:7" ht="17" thickBot="1">
      <c r="A44" s="611">
        <v>2</v>
      </c>
      <c r="B44" s="466"/>
      <c r="C44" s="365"/>
      <c r="D44" s="411"/>
      <c r="E44" s="412"/>
      <c r="F44" s="1692"/>
    </row>
    <row r="45" spans="1:7" ht="17" thickBot="1">
      <c r="A45" s="1859" t="s">
        <v>940</v>
      </c>
      <c r="B45" s="1860"/>
      <c r="C45" s="1913"/>
      <c r="D45" s="1914">
        <f>SUM(D43:D44)</f>
        <v>0</v>
      </c>
      <c r="E45" s="1914">
        <f t="shared" ref="E45:F45" si="5">SUM(E43:E44)</f>
        <v>0</v>
      </c>
      <c r="F45" s="1914">
        <f t="shared" si="5"/>
        <v>0</v>
      </c>
    </row>
    <row r="46" spans="1:7" ht="17" thickBot="1">
      <c r="A46" s="1915"/>
      <c r="B46" s="1916" t="str">
        <f>"Ændring Kostafdeling "&amp;E42+1&amp;" i forhold til "&amp;E42&amp;" i alt:"</f>
        <v>Ændring Kostafdeling 2027 i forhold til 2026 i alt:</v>
      </c>
      <c r="C46" s="1917"/>
      <c r="D46" s="1917"/>
      <c r="E46" s="1917"/>
      <c r="F46" s="1918">
        <f>SUM(F43:F44)+SUM(F37:F38)+SUM(F29:F34)+SUM(F21:F26)+SUM(F17:F18)+SUM(F12:F14)+SUM(F4:F9)</f>
        <v>0</v>
      </c>
    </row>
  </sheetData>
  <sheetProtection sheet="1" objects="1" scenarios="1" formatCells="0" formatColumns="0" formatRows="0"/>
  <mergeCells count="2">
    <mergeCell ref="A40:C40"/>
    <mergeCell ref="A2:C2"/>
  </mergeCells>
  <phoneticPr fontId="55" type="noConversion"/>
  <dataValidations count="1">
    <dataValidation type="whole" allowBlank="1" showInputMessage="1" showErrorMessage="1" sqref="E9" xr:uid="{00000000-0002-0000-0D00-000000000000}">
      <formula1>-1000000</formula1>
      <formula2>0</formula2>
    </dataValidation>
  </dataValidations>
  <printOptions horizontalCentered="1"/>
  <pageMargins left="0.79" right="0.67" top="0.98" bottom="0.83" header="0.51" footer="0.51"/>
  <pageSetup paperSize="9" scale="71" orientation="portrait" horizontalDpi="4294967292" verticalDpi="4294967292"/>
  <headerFooter alignWithMargins="0">
    <oddHeader>&amp;C&amp;"Arial,Fed"&amp;16Mad / Kantine</oddHeader>
    <oddFooter>&amp;L&amp;G&amp;R
&amp;D
&amp;A</oddFooter>
  </headerFooter>
  <drawing r:id="rId1"/>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Ark9">
    <tabColor rgb="FFFFFF00"/>
  </sheetPr>
  <dimension ref="A1:AB291"/>
  <sheetViews>
    <sheetView topLeftCell="A113" zoomScaleNormal="100" zoomScalePageLayoutView="244" workbookViewId="0">
      <selection activeCell="H100" sqref="H100:H104"/>
    </sheetView>
  </sheetViews>
  <sheetFormatPr baseColWidth="10" defaultColWidth="11.5" defaultRowHeight="13"/>
  <cols>
    <col min="1" max="1" width="5.1640625" style="2" customWidth="1"/>
    <col min="2" max="2" width="9" style="182" customWidth="1"/>
    <col min="3" max="3" width="48.5" customWidth="1"/>
    <col min="4" max="4" width="15" customWidth="1"/>
    <col min="5" max="5" width="15.5" customWidth="1"/>
    <col min="6" max="6" width="38.1640625" customWidth="1"/>
    <col min="8" max="8" width="16.1640625" customWidth="1"/>
    <col min="9" max="9" width="15" customWidth="1"/>
  </cols>
  <sheetData>
    <row r="1" spans="1:28" s="98" customFormat="1" ht="24.75" customHeight="1" thickBot="1">
      <c r="A1" s="2"/>
      <c r="B1" s="182"/>
      <c r="C1"/>
      <c r="D1"/>
      <c r="E1"/>
      <c r="F1"/>
      <c r="G1"/>
      <c r="H1"/>
      <c r="I1"/>
      <c r="J1"/>
      <c r="K1"/>
      <c r="L1"/>
      <c r="M1"/>
      <c r="N1"/>
      <c r="O1"/>
      <c r="P1"/>
      <c r="Q1"/>
      <c r="R1"/>
      <c r="S1"/>
      <c r="T1"/>
      <c r="U1" s="900"/>
      <c r="V1" s="900"/>
      <c r="W1" s="900"/>
      <c r="X1" s="900"/>
      <c r="Y1" s="900"/>
      <c r="Z1" s="900"/>
      <c r="AA1" s="900"/>
      <c r="AB1" s="900"/>
    </row>
    <row r="2" spans="1:28" ht="73" customHeight="1" thickBot="1">
      <c r="A2" s="3450" t="s">
        <v>941</v>
      </c>
      <c r="B2" s="3451"/>
      <c r="C2" s="3451"/>
      <c r="D2" s="924" t="s">
        <v>681</v>
      </c>
      <c r="E2" s="925" t="s">
        <v>682</v>
      </c>
      <c r="F2" s="1919" t="str">
        <f>Ejendom!F2</f>
        <v>Ændringer i budgetår 2027 i forhold til 2026. Hvis ekstra udgifter påfør udgiften som et positivt tal. Hvis en lavere udgift, påfør den lavere udgift med et negativt tal. Tallene skal ses i forhold til Budgetåret 2026.</v>
      </c>
      <c r="G2" s="132"/>
      <c r="H2" s="3452" t="str">
        <f>"Heraf daginstitutionens andel vedr. budgetår "&amp;E3&amp;":"</f>
        <v>Heraf daginstitutionens andel vedr. budgetår 2026:</v>
      </c>
      <c r="I2" s="3453"/>
    </row>
    <row r="3" spans="1:28" ht="16">
      <c r="A3" s="1910" t="s">
        <v>388</v>
      </c>
      <c r="B3" s="1911" t="s">
        <v>827</v>
      </c>
      <c r="C3" s="1912" t="s">
        <v>942</v>
      </c>
      <c r="D3" s="1844">
        <f>budgetår-1</f>
        <v>2025</v>
      </c>
      <c r="E3" s="1845">
        <f>budgetår</f>
        <v>2026</v>
      </c>
      <c r="F3" s="1920" t="s">
        <v>834</v>
      </c>
      <c r="G3" s="369"/>
      <c r="H3" s="828" t="s">
        <v>883</v>
      </c>
      <c r="I3" s="462" t="s">
        <v>603</v>
      </c>
    </row>
    <row r="4" spans="1:28" ht="16">
      <c r="A4" s="611">
        <v>1</v>
      </c>
      <c r="B4" s="466"/>
      <c r="C4" s="408" t="s">
        <v>942</v>
      </c>
      <c r="D4" s="408"/>
      <c r="E4" s="626"/>
      <c r="F4" s="1899"/>
      <c r="G4" s="369"/>
      <c r="H4" s="1921"/>
      <c r="I4" s="1922">
        <f>E4*H4</f>
        <v>0</v>
      </c>
    </row>
    <row r="5" spans="1:28" ht="16">
      <c r="A5" s="611">
        <v>2</v>
      </c>
      <c r="B5" s="466"/>
      <c r="C5" s="408"/>
      <c r="D5" s="408"/>
      <c r="E5" s="626"/>
      <c r="F5" s="1899"/>
      <c r="G5" s="369"/>
      <c r="H5" s="1921"/>
      <c r="I5" s="1922">
        <f t="shared" ref="I5:I68" si="0">E5*H5</f>
        <v>0</v>
      </c>
    </row>
    <row r="6" spans="1:28" ht="16">
      <c r="A6" s="1864" t="str">
        <f>"SUM, "&amp;LOWER(C3)</f>
        <v>SUM, revision</v>
      </c>
      <c r="B6" s="1865"/>
      <c r="C6" s="1902"/>
      <c r="D6" s="1903">
        <f>SUM(D4:D5)</f>
        <v>0</v>
      </c>
      <c r="E6" s="1903">
        <f t="shared" ref="E6" si="1">SUM(E4:E5)</f>
        <v>0</v>
      </c>
      <c r="F6" s="1903">
        <f>SUM(F4:F5)</f>
        <v>0</v>
      </c>
      <c r="G6" s="369"/>
      <c r="H6" s="1832"/>
      <c r="I6" s="1923"/>
    </row>
    <row r="7" spans="1:28" ht="16">
      <c r="A7" s="1827" t="s">
        <v>388</v>
      </c>
      <c r="B7" s="1905" t="str">
        <f>B3</f>
        <v>Kto. nr.</v>
      </c>
      <c r="C7" s="1829" t="s">
        <v>943</v>
      </c>
      <c r="D7" s="1830">
        <f>budgetår-1</f>
        <v>2025</v>
      </c>
      <c r="E7" s="1831">
        <f>budgetår</f>
        <v>2026</v>
      </c>
      <c r="F7" s="649" t="s">
        <v>834</v>
      </c>
      <c r="G7" s="369"/>
      <c r="H7" s="1832"/>
      <c r="I7" s="1923"/>
    </row>
    <row r="8" spans="1:28" ht="16">
      <c r="A8" s="611">
        <v>1</v>
      </c>
      <c r="B8" s="466"/>
      <c r="C8" s="365" t="s">
        <v>944</v>
      </c>
      <c r="D8" s="408"/>
      <c r="E8" s="626"/>
      <c r="F8" s="1899"/>
      <c r="G8" s="369"/>
      <c r="H8" s="1921"/>
      <c r="I8" s="1922">
        <f t="shared" si="0"/>
        <v>0</v>
      </c>
    </row>
    <row r="9" spans="1:28" ht="16">
      <c r="A9" s="611">
        <v>2</v>
      </c>
      <c r="B9" s="466"/>
      <c r="C9" s="408" t="s">
        <v>945</v>
      </c>
      <c r="D9" s="408"/>
      <c r="E9" s="626"/>
      <c r="F9" s="1899"/>
      <c r="G9" s="369"/>
      <c r="H9" s="1921"/>
      <c r="I9" s="1922">
        <f t="shared" si="0"/>
        <v>0</v>
      </c>
    </row>
    <row r="10" spans="1:28" ht="16">
      <c r="A10" s="611">
        <v>3</v>
      </c>
      <c r="B10" s="466"/>
      <c r="C10" s="408"/>
      <c r="D10" s="408"/>
      <c r="E10" s="626"/>
      <c r="F10" s="1899"/>
      <c r="G10" s="369"/>
      <c r="H10" s="1921"/>
      <c r="I10" s="1922">
        <f t="shared" si="0"/>
        <v>0</v>
      </c>
    </row>
    <row r="11" spans="1:28" ht="16">
      <c r="A11" s="1864" t="str">
        <f>"SUM, "&amp;LOWER(C7)</f>
        <v>SUM, regnskabsmæssig assistance</v>
      </c>
      <c r="B11" s="1865"/>
      <c r="C11" s="1902"/>
      <c r="D11" s="1903">
        <f>SUM(D8:D10)</f>
        <v>0</v>
      </c>
      <c r="E11" s="1903">
        <f t="shared" ref="E11:F11" si="2">SUM(E8:E10)</f>
        <v>0</v>
      </c>
      <c r="F11" s="1903">
        <f t="shared" si="2"/>
        <v>0</v>
      </c>
      <c r="G11" s="369"/>
      <c r="H11" s="1832"/>
      <c r="I11" s="1923"/>
    </row>
    <row r="12" spans="1:28" ht="16">
      <c r="A12" s="1827" t="s">
        <v>388</v>
      </c>
      <c r="B12" s="1905" t="str">
        <f>B7</f>
        <v>Kto. nr.</v>
      </c>
      <c r="C12" s="1829" t="s">
        <v>946</v>
      </c>
      <c r="D12" s="1830">
        <f>budgetår-1</f>
        <v>2025</v>
      </c>
      <c r="E12" s="1831">
        <f>budgetår</f>
        <v>2026</v>
      </c>
      <c r="F12" s="649" t="s">
        <v>834</v>
      </c>
      <c r="G12" s="369"/>
      <c r="H12" s="1832"/>
      <c r="I12" s="1923"/>
      <c r="AB12" s="1924"/>
    </row>
    <row r="13" spans="1:28" ht="16">
      <c r="A13" s="611">
        <v>1</v>
      </c>
      <c r="B13" s="466"/>
      <c r="C13" s="408" t="s">
        <v>947</v>
      </c>
      <c r="D13" s="366"/>
      <c r="E13" s="383"/>
      <c r="F13" s="1899"/>
      <c r="G13" s="369"/>
      <c r="H13" s="1921"/>
      <c r="I13" s="1922">
        <f t="shared" si="0"/>
        <v>0</v>
      </c>
    </row>
    <row r="14" spans="1:28" ht="16">
      <c r="A14" s="611">
        <v>2</v>
      </c>
      <c r="B14" s="466"/>
      <c r="C14" s="408" t="s">
        <v>943</v>
      </c>
      <c r="D14" s="408"/>
      <c r="E14" s="626"/>
      <c r="F14" s="1899"/>
      <c r="G14" s="369"/>
      <c r="H14" s="1921"/>
      <c r="I14" s="1922">
        <f t="shared" si="0"/>
        <v>0</v>
      </c>
    </row>
    <row r="15" spans="1:28" ht="16">
      <c r="A15" s="1864" t="str">
        <f>"SUM, "&amp;LOWER(C12)</f>
        <v>SUM, andre konsulenter</v>
      </c>
      <c r="B15" s="1865"/>
      <c r="C15" s="1902"/>
      <c r="D15" s="1903">
        <f>SUM(D13:D14)</f>
        <v>0</v>
      </c>
      <c r="E15" s="1903">
        <f t="shared" ref="E15:F15" si="3">SUM(E13:E14)</f>
        <v>0</v>
      </c>
      <c r="F15" s="1903">
        <f t="shared" si="3"/>
        <v>0</v>
      </c>
      <c r="G15" s="369"/>
      <c r="H15" s="1832"/>
      <c r="I15" s="1923"/>
    </row>
    <row r="16" spans="1:28" ht="16">
      <c r="A16" s="1827" t="s">
        <v>388</v>
      </c>
      <c r="B16" s="1905" t="str">
        <f>B12</f>
        <v>Kto. nr.</v>
      </c>
      <c r="C16" s="1829" t="s">
        <v>948</v>
      </c>
      <c r="D16" s="1830">
        <f>budgetår-1</f>
        <v>2025</v>
      </c>
      <c r="E16" s="1831">
        <f>budgetår</f>
        <v>2026</v>
      </c>
      <c r="F16" s="649" t="s">
        <v>834</v>
      </c>
      <c r="G16" s="369"/>
      <c r="H16" s="1832"/>
      <c r="I16" s="1923"/>
    </row>
    <row r="17" spans="1:9" ht="16">
      <c r="A17" s="611">
        <v>1</v>
      </c>
      <c r="B17" s="466"/>
      <c r="C17" s="365" t="s">
        <v>949</v>
      </c>
      <c r="D17" s="408"/>
      <c r="E17" s="626"/>
      <c r="F17" s="1899"/>
      <c r="G17" s="369"/>
      <c r="H17" s="1921"/>
      <c r="I17" s="1922">
        <f t="shared" si="0"/>
        <v>0</v>
      </c>
    </row>
    <row r="18" spans="1:9" ht="16">
      <c r="A18" s="611">
        <v>2</v>
      </c>
      <c r="B18" s="466"/>
      <c r="C18" s="365" t="s">
        <v>950</v>
      </c>
      <c r="D18" s="408"/>
      <c r="E18" s="626"/>
      <c r="F18" s="1899"/>
      <c r="G18" s="369"/>
      <c r="H18" s="1921"/>
      <c r="I18" s="1922">
        <f t="shared" si="0"/>
        <v>0</v>
      </c>
    </row>
    <row r="19" spans="1:9" ht="16">
      <c r="A19" s="611">
        <v>3</v>
      </c>
      <c r="B19" s="466"/>
      <c r="C19" s="365" t="s">
        <v>951</v>
      </c>
      <c r="D19" s="408"/>
      <c r="E19" s="626"/>
      <c r="F19" s="1899"/>
      <c r="G19" s="369"/>
      <c r="H19" s="1921"/>
      <c r="I19" s="1922">
        <f t="shared" si="0"/>
        <v>0</v>
      </c>
    </row>
    <row r="20" spans="1:9" ht="16">
      <c r="A20" s="611">
        <v>4</v>
      </c>
      <c r="B20" s="466"/>
      <c r="C20" s="365" t="s">
        <v>952</v>
      </c>
      <c r="D20" s="408"/>
      <c r="E20" s="626"/>
      <c r="F20" s="1899"/>
      <c r="G20" s="369"/>
      <c r="H20" s="1921"/>
      <c r="I20" s="1922">
        <f t="shared" si="0"/>
        <v>0</v>
      </c>
    </row>
    <row r="21" spans="1:9" ht="16">
      <c r="A21" s="611">
        <v>5</v>
      </c>
      <c r="B21" s="466"/>
      <c r="C21" s="408" t="s">
        <v>953</v>
      </c>
      <c r="D21" s="408"/>
      <c r="E21" s="626"/>
      <c r="F21" s="1899"/>
      <c r="G21" s="369"/>
      <c r="H21" s="1921"/>
      <c r="I21" s="1922">
        <f t="shared" si="0"/>
        <v>0</v>
      </c>
    </row>
    <row r="22" spans="1:9" ht="16">
      <c r="A22" s="611">
        <v>6</v>
      </c>
      <c r="B22" s="474"/>
      <c r="C22" s="410" t="s">
        <v>954</v>
      </c>
      <c r="D22" s="408"/>
      <c r="E22" s="626"/>
      <c r="F22" s="1899"/>
      <c r="G22" s="369"/>
      <c r="H22" s="1921"/>
      <c r="I22" s="1922">
        <f t="shared" si="0"/>
        <v>0</v>
      </c>
    </row>
    <row r="23" spans="1:9" ht="16">
      <c r="A23" s="1864" t="str">
        <f>"SUM, "&amp;LOWER(C16)</f>
        <v>SUM, forsikringer (ej bygninger)</v>
      </c>
      <c r="B23" s="1865"/>
      <c r="C23" s="1902"/>
      <c r="D23" s="1903">
        <f>SUM(D17:D22)</f>
        <v>0</v>
      </c>
      <c r="E23" s="1903">
        <f t="shared" ref="E23:F23" si="4">SUM(E17:E22)</f>
        <v>0</v>
      </c>
      <c r="F23" s="1903">
        <f t="shared" si="4"/>
        <v>0</v>
      </c>
      <c r="G23" s="369"/>
      <c r="H23" s="1832"/>
      <c r="I23" s="1923"/>
    </row>
    <row r="24" spans="1:9" s="3" customFormat="1" ht="16">
      <c r="A24" s="1827" t="s">
        <v>388</v>
      </c>
      <c r="B24" s="1905" t="str">
        <f>B16</f>
        <v>Kto. nr.</v>
      </c>
      <c r="C24" s="1854" t="s">
        <v>955</v>
      </c>
      <c r="D24" s="1830">
        <f>budgetår-1</f>
        <v>2025</v>
      </c>
      <c r="E24" s="1831">
        <f>budgetår</f>
        <v>2026</v>
      </c>
      <c r="F24" s="649" t="s">
        <v>834</v>
      </c>
      <c r="G24" s="369"/>
      <c r="H24" s="1832"/>
      <c r="I24" s="1923"/>
    </row>
    <row r="25" spans="1:9" s="3" customFormat="1" ht="16">
      <c r="A25" s="611">
        <v>1</v>
      </c>
      <c r="B25" s="466"/>
      <c r="C25" s="408" t="s">
        <v>956</v>
      </c>
      <c r="D25" s="408"/>
      <c r="E25" s="626"/>
      <c r="F25" s="1899"/>
      <c r="G25" s="369"/>
      <c r="H25" s="1921"/>
      <c r="I25" s="1922">
        <f t="shared" si="0"/>
        <v>0</v>
      </c>
    </row>
    <row r="26" spans="1:9" s="3" customFormat="1" ht="16">
      <c r="A26" s="611">
        <v>2</v>
      </c>
      <c r="B26" s="466"/>
      <c r="C26" s="408" t="s">
        <v>957</v>
      </c>
      <c r="D26" s="408"/>
      <c r="E26" s="626"/>
      <c r="F26" s="1899"/>
      <c r="G26" s="369"/>
      <c r="H26" s="1921"/>
      <c r="I26" s="1922">
        <f t="shared" si="0"/>
        <v>0</v>
      </c>
    </row>
    <row r="27" spans="1:9" s="3" customFormat="1" ht="16">
      <c r="A27" s="611">
        <v>3</v>
      </c>
      <c r="B27" s="466"/>
      <c r="C27" s="408" t="s">
        <v>958</v>
      </c>
      <c r="D27" s="408"/>
      <c r="E27" s="626"/>
      <c r="F27" s="1899"/>
      <c r="G27" s="369"/>
      <c r="H27" s="1921"/>
      <c r="I27" s="1922">
        <f t="shared" si="0"/>
        <v>0</v>
      </c>
    </row>
    <row r="28" spans="1:9" s="3" customFormat="1" ht="16">
      <c r="A28" s="611">
        <v>4</v>
      </c>
      <c r="B28" s="466"/>
      <c r="C28" s="408"/>
      <c r="D28" s="408"/>
      <c r="E28" s="626"/>
      <c r="F28" s="1899"/>
      <c r="G28" s="369"/>
      <c r="H28" s="1921"/>
      <c r="I28" s="1922">
        <f t="shared" si="0"/>
        <v>0</v>
      </c>
    </row>
    <row r="29" spans="1:9" s="3" customFormat="1" ht="16">
      <c r="A29" s="611">
        <v>5</v>
      </c>
      <c r="B29" s="466"/>
      <c r="C29" s="408"/>
      <c r="D29" s="408"/>
      <c r="E29" s="626"/>
      <c r="F29" s="1899"/>
      <c r="G29" s="369"/>
      <c r="H29" s="1921"/>
      <c r="I29" s="1922">
        <f t="shared" si="0"/>
        <v>0</v>
      </c>
    </row>
    <row r="30" spans="1:9" ht="16">
      <c r="A30" s="611">
        <v>6</v>
      </c>
      <c r="B30" s="466"/>
      <c r="C30" s="408"/>
      <c r="D30" s="408"/>
      <c r="E30" s="626"/>
      <c r="F30" s="1899"/>
      <c r="G30" s="369"/>
      <c r="H30" s="1921"/>
      <c r="I30" s="1922">
        <f t="shared" si="0"/>
        <v>0</v>
      </c>
    </row>
    <row r="31" spans="1:9" ht="16">
      <c r="A31" s="1864" t="str">
        <f>"SUM, "&amp;LOWER(C24)</f>
        <v>SUM, markedsføring</v>
      </c>
      <c r="B31" s="1865"/>
      <c r="C31" s="1902"/>
      <c r="D31" s="1903">
        <f>SUM(D25:D30)</f>
        <v>0</v>
      </c>
      <c r="E31" s="1903">
        <f t="shared" ref="E31:F31" si="5">SUM(E25:E30)</f>
        <v>0</v>
      </c>
      <c r="F31" s="1903">
        <f t="shared" si="5"/>
        <v>0</v>
      </c>
      <c r="G31" s="369"/>
      <c r="H31" s="1832"/>
      <c r="I31" s="1923"/>
    </row>
    <row r="32" spans="1:9" ht="16">
      <c r="A32" s="1827" t="s">
        <v>388</v>
      </c>
      <c r="B32" s="1905" t="str">
        <f>B24</f>
        <v>Kto. nr.</v>
      </c>
      <c r="C32" s="1854" t="s">
        <v>959</v>
      </c>
      <c r="D32" s="1830">
        <f>budgetår-1</f>
        <v>2025</v>
      </c>
      <c r="E32" s="1831">
        <f>budgetår</f>
        <v>2026</v>
      </c>
      <c r="F32" s="649" t="s">
        <v>834</v>
      </c>
      <c r="G32" s="369"/>
      <c r="H32" s="1832"/>
      <c r="I32" s="1923"/>
    </row>
    <row r="33" spans="1:9" ht="16">
      <c r="A33" s="611">
        <v>1</v>
      </c>
      <c r="B33" s="466"/>
      <c r="C33" s="366" t="s">
        <v>960</v>
      </c>
      <c r="D33" s="366"/>
      <c r="E33" s="383"/>
      <c r="F33" s="1627"/>
      <c r="G33" s="369"/>
      <c r="H33" s="1921"/>
      <c r="I33" s="1922">
        <f t="shared" si="0"/>
        <v>0</v>
      </c>
    </row>
    <row r="34" spans="1:9" ht="16">
      <c r="A34" s="611">
        <v>2</v>
      </c>
      <c r="B34" s="466"/>
      <c r="C34" s="366"/>
      <c r="D34" s="366"/>
      <c r="E34" s="383"/>
      <c r="F34" s="1627"/>
      <c r="G34" s="369"/>
      <c r="H34" s="1921"/>
      <c r="I34" s="1922">
        <f t="shared" si="0"/>
        <v>0</v>
      </c>
    </row>
    <row r="35" spans="1:9" ht="16">
      <c r="A35" s="1864" t="str">
        <f>"SUM, "&amp;LOWER(C32)</f>
        <v>SUM, omkostninger ved ansættelse af personale</v>
      </c>
      <c r="B35" s="1852"/>
      <c r="C35" s="1925"/>
      <c r="D35" s="1823">
        <f>SUM(D33:D34)</f>
        <v>0</v>
      </c>
      <c r="E35" s="1823">
        <f t="shared" ref="E35:F35" si="6">SUM(E33:E34)</f>
        <v>0</v>
      </c>
      <c r="F35" s="1823">
        <f t="shared" si="6"/>
        <v>0</v>
      </c>
      <c r="G35" s="369"/>
      <c r="H35" s="1832"/>
      <c r="I35" s="1923"/>
    </row>
    <row r="36" spans="1:9" s="3" customFormat="1" ht="16">
      <c r="A36" s="1827" t="s">
        <v>388</v>
      </c>
      <c r="B36" s="1905" t="str">
        <f>B32</f>
        <v>Kto. nr.</v>
      </c>
      <c r="C36" s="1829" t="s">
        <v>961</v>
      </c>
      <c r="D36" s="1830">
        <f>budgetår-1</f>
        <v>2025</v>
      </c>
      <c r="E36" s="1831">
        <f>budgetår</f>
        <v>2026</v>
      </c>
      <c r="F36" s="649" t="s">
        <v>834</v>
      </c>
      <c r="G36" s="134"/>
      <c r="H36" s="1832"/>
      <c r="I36" s="1923"/>
    </row>
    <row r="37" spans="1:9" s="3" customFormat="1" ht="16">
      <c r="A37" s="611">
        <v>1</v>
      </c>
      <c r="B37" s="466"/>
      <c r="C37" s="365" t="s">
        <v>962</v>
      </c>
      <c r="D37" s="408"/>
      <c r="E37" s="626"/>
      <c r="F37" s="1899"/>
      <c r="G37" s="134"/>
      <c r="H37" s="1921"/>
      <c r="I37" s="1922">
        <f t="shared" si="0"/>
        <v>0</v>
      </c>
    </row>
    <row r="38" spans="1:9" ht="16">
      <c r="A38" s="611">
        <v>2</v>
      </c>
      <c r="B38" s="466"/>
      <c r="C38" s="365" t="s">
        <v>963</v>
      </c>
      <c r="D38" s="408"/>
      <c r="E38" s="626"/>
      <c r="F38" s="1899"/>
      <c r="G38" s="369"/>
      <c r="H38" s="1921"/>
      <c r="I38" s="1922">
        <f t="shared" si="0"/>
        <v>0</v>
      </c>
    </row>
    <row r="39" spans="1:9" ht="16">
      <c r="A39" s="611">
        <v>3</v>
      </c>
      <c r="B39" s="466"/>
      <c r="C39" s="365" t="s">
        <v>964</v>
      </c>
      <c r="D39" s="408"/>
      <c r="E39" s="626"/>
      <c r="F39" s="1899"/>
      <c r="G39" s="369"/>
      <c r="H39" s="1921"/>
      <c r="I39" s="1922">
        <f t="shared" si="0"/>
        <v>0</v>
      </c>
    </row>
    <row r="40" spans="1:9" ht="16">
      <c r="A40" s="611">
        <v>4</v>
      </c>
      <c r="B40" s="466"/>
      <c r="C40" s="365" t="s">
        <v>965</v>
      </c>
      <c r="D40" s="408"/>
      <c r="E40" s="626"/>
      <c r="F40" s="1899"/>
      <c r="G40" s="369"/>
      <c r="H40" s="1921"/>
      <c r="I40" s="1922">
        <f t="shared" si="0"/>
        <v>0</v>
      </c>
    </row>
    <row r="41" spans="1:9" s="3" customFormat="1" ht="16">
      <c r="A41" s="611">
        <v>5</v>
      </c>
      <c r="B41" s="466"/>
      <c r="C41" s="408"/>
      <c r="D41" s="408"/>
      <c r="E41" s="626"/>
      <c r="F41" s="1899"/>
      <c r="G41" s="134"/>
      <c r="H41" s="1921"/>
      <c r="I41" s="1922">
        <f t="shared" si="0"/>
        <v>0</v>
      </c>
    </row>
    <row r="42" spans="1:9" ht="16">
      <c r="A42" s="611">
        <v>6</v>
      </c>
      <c r="B42" s="474"/>
      <c r="C42" s="410"/>
      <c r="D42" s="408"/>
      <c r="E42" s="626"/>
      <c r="F42" s="1899"/>
      <c r="G42" s="369"/>
      <c r="H42" s="1921"/>
      <c r="I42" s="1922">
        <f t="shared" si="0"/>
        <v>0</v>
      </c>
    </row>
    <row r="43" spans="1:9" ht="16">
      <c r="A43" s="1864" t="str">
        <f>"SUM, "&amp;LOWER(C36)</f>
        <v>SUM, personaleomkostninger</v>
      </c>
      <c r="B43" s="1865"/>
      <c r="C43" s="1902"/>
      <c r="D43" s="1903">
        <f>SUM(D37:D42)</f>
        <v>0</v>
      </c>
      <c r="E43" s="1903">
        <f t="shared" ref="E43:F43" si="7">SUM(E37:E42)</f>
        <v>0</v>
      </c>
      <c r="F43" s="1903">
        <f t="shared" si="7"/>
        <v>0</v>
      </c>
      <c r="G43" s="369"/>
      <c r="H43" s="1832"/>
      <c r="I43" s="1923"/>
    </row>
    <row r="44" spans="1:9" ht="16">
      <c r="A44" s="1827" t="s">
        <v>388</v>
      </c>
      <c r="B44" s="1905" t="str">
        <f>B36</f>
        <v>Kto. nr.</v>
      </c>
      <c r="C44" s="1854" t="s">
        <v>966</v>
      </c>
      <c r="D44" s="1830">
        <f>budgetår-1</f>
        <v>2025</v>
      </c>
      <c r="E44" s="1831">
        <f>budgetår</f>
        <v>2026</v>
      </c>
      <c r="F44" s="649" t="s">
        <v>834</v>
      </c>
      <c r="G44" s="369"/>
      <c r="H44" s="1832"/>
      <c r="I44" s="1923"/>
    </row>
    <row r="45" spans="1:9" ht="16">
      <c r="A45" s="611">
        <v>1</v>
      </c>
      <c r="B45" s="466"/>
      <c r="C45" s="408" t="s">
        <v>967</v>
      </c>
      <c r="D45" s="408"/>
      <c r="E45" s="626"/>
      <c r="F45" s="1899"/>
      <c r="G45" s="369"/>
      <c r="H45" s="1921"/>
      <c r="I45" s="1922">
        <f t="shared" si="0"/>
        <v>0</v>
      </c>
    </row>
    <row r="46" spans="1:9" s="3" customFormat="1" ht="16">
      <c r="A46" s="611">
        <v>2</v>
      </c>
      <c r="B46" s="466"/>
      <c r="C46" s="408" t="s">
        <v>968</v>
      </c>
      <c r="D46" s="408"/>
      <c r="E46" s="626"/>
      <c r="F46" s="1899"/>
      <c r="G46" s="134"/>
      <c r="H46" s="1921"/>
      <c r="I46" s="1922">
        <f t="shared" si="0"/>
        <v>0</v>
      </c>
    </row>
    <row r="47" spans="1:9" ht="16">
      <c r="A47" s="611">
        <v>3</v>
      </c>
      <c r="B47" s="466"/>
      <c r="C47" s="408"/>
      <c r="D47" s="408"/>
      <c r="E47" s="626"/>
      <c r="F47" s="1899"/>
      <c r="G47" s="369"/>
      <c r="H47" s="1921"/>
      <c r="I47" s="1922">
        <f t="shared" si="0"/>
        <v>0</v>
      </c>
    </row>
    <row r="48" spans="1:9" ht="16">
      <c r="A48" s="611">
        <v>4</v>
      </c>
      <c r="B48" s="466"/>
      <c r="C48" s="408"/>
      <c r="D48" s="408"/>
      <c r="E48" s="626"/>
      <c r="F48" s="1899"/>
      <c r="G48" s="369"/>
      <c r="H48" s="1921"/>
      <c r="I48" s="1922">
        <f t="shared" si="0"/>
        <v>0</v>
      </c>
    </row>
    <row r="49" spans="1:9" ht="16">
      <c r="A49" s="611">
        <v>5</v>
      </c>
      <c r="B49" s="466"/>
      <c r="C49" s="408"/>
      <c r="D49" s="408"/>
      <c r="E49" s="626"/>
      <c r="F49" s="1899"/>
      <c r="G49" s="369"/>
      <c r="H49" s="1921"/>
      <c r="I49" s="1922">
        <f t="shared" si="0"/>
        <v>0</v>
      </c>
    </row>
    <row r="50" spans="1:9" ht="16">
      <c r="A50" s="611">
        <v>6</v>
      </c>
      <c r="B50" s="466"/>
      <c r="C50" s="408"/>
      <c r="D50" s="408"/>
      <c r="E50" s="626"/>
      <c r="F50" s="1899"/>
      <c r="G50" s="369"/>
      <c r="H50" s="1921"/>
      <c r="I50" s="1922">
        <f t="shared" si="0"/>
        <v>0</v>
      </c>
    </row>
    <row r="51" spans="1:9" ht="16">
      <c r="A51" s="1864" t="str">
        <f>"SUM, "&amp;LOWER(C44)</f>
        <v>SUM, bestyrelsesomkostninger</v>
      </c>
      <c r="B51" s="1865"/>
      <c r="C51" s="1902"/>
      <c r="D51" s="1903">
        <f>SUM(D45:D50)</f>
        <v>0</v>
      </c>
      <c r="E51" s="1903">
        <f t="shared" ref="E51:F51" si="8">SUM(E45:E50)</f>
        <v>0</v>
      </c>
      <c r="F51" s="1903">
        <f t="shared" si="8"/>
        <v>0</v>
      </c>
      <c r="G51" s="369"/>
      <c r="H51" s="1832"/>
      <c r="I51" s="1923"/>
    </row>
    <row r="52" spans="1:9" s="3" customFormat="1" ht="16" customHeight="1">
      <c r="A52" s="1827" t="s">
        <v>388</v>
      </c>
      <c r="B52" s="1905" t="str">
        <f>B44</f>
        <v>Kto. nr.</v>
      </c>
      <c r="C52" s="1854" t="s">
        <v>922</v>
      </c>
      <c r="D52" s="1830">
        <f>budgetår-1</f>
        <v>2025</v>
      </c>
      <c r="E52" s="1831">
        <f>budgetår</f>
        <v>2026</v>
      </c>
      <c r="F52" s="649" t="s">
        <v>834</v>
      </c>
      <c r="G52" s="134"/>
      <c r="H52" s="1832"/>
      <c r="I52" s="1923"/>
    </row>
    <row r="53" spans="1:9" ht="16">
      <c r="A53" s="611">
        <v>1</v>
      </c>
      <c r="B53" s="466"/>
      <c r="C53" s="366" t="s">
        <v>969</v>
      </c>
      <c r="D53" s="366"/>
      <c r="E53" s="383"/>
      <c r="F53" s="1627"/>
      <c r="G53" s="369"/>
      <c r="H53" s="1921"/>
      <c r="I53" s="1922">
        <f t="shared" si="0"/>
        <v>0</v>
      </c>
    </row>
    <row r="54" spans="1:9" ht="16">
      <c r="A54" s="611">
        <v>2</v>
      </c>
      <c r="B54" s="466"/>
      <c r="C54" s="408" t="s">
        <v>970</v>
      </c>
      <c r="D54" s="366"/>
      <c r="E54" s="383"/>
      <c r="F54" s="1899"/>
      <c r="G54" s="369"/>
      <c r="H54" s="1921"/>
      <c r="I54" s="1922">
        <f t="shared" si="0"/>
        <v>0</v>
      </c>
    </row>
    <row r="55" spans="1:9" ht="16">
      <c r="A55" s="611">
        <v>3</v>
      </c>
      <c r="B55" s="466"/>
      <c r="C55" s="408" t="s">
        <v>971</v>
      </c>
      <c r="D55" s="366"/>
      <c r="E55" s="383"/>
      <c r="F55" s="1899"/>
      <c r="G55" s="369"/>
      <c r="H55" s="1921"/>
      <c r="I55" s="1922">
        <f t="shared" si="0"/>
        <v>0</v>
      </c>
    </row>
    <row r="56" spans="1:9" ht="16">
      <c r="A56" s="611">
        <v>4</v>
      </c>
      <c r="B56" s="466"/>
      <c r="C56" s="408"/>
      <c r="D56" s="408"/>
      <c r="E56" s="626"/>
      <c r="F56" s="1899"/>
      <c r="G56" s="369"/>
      <c r="H56" s="1921"/>
      <c r="I56" s="1922">
        <f>E56*H56</f>
        <v>0</v>
      </c>
    </row>
    <row r="57" spans="1:9" ht="16">
      <c r="A57" s="611">
        <v>5</v>
      </c>
      <c r="B57" s="466"/>
      <c r="C57" s="366"/>
      <c r="D57" s="366"/>
      <c r="E57" s="383"/>
      <c r="F57" s="1627"/>
      <c r="G57" s="369"/>
      <c r="H57" s="1921"/>
      <c r="I57" s="1922">
        <f t="shared" si="0"/>
        <v>0</v>
      </c>
    </row>
    <row r="58" spans="1:9" s="3" customFormat="1" ht="16">
      <c r="A58" s="1864" t="str">
        <f>"SUM, "&amp;LOWER(C52)</f>
        <v>SUM, kurser</v>
      </c>
      <c r="B58" s="1852"/>
      <c r="C58" s="1925"/>
      <c r="D58" s="1823">
        <f>SUM(D53:D57)</f>
        <v>0</v>
      </c>
      <c r="E58" s="1823">
        <f t="shared" ref="E58:F58" si="9">SUM(E53:E57)</f>
        <v>0</v>
      </c>
      <c r="F58" s="1823">
        <f t="shared" si="9"/>
        <v>0</v>
      </c>
      <c r="G58" s="134"/>
      <c r="H58" s="1832"/>
      <c r="I58" s="1923"/>
    </row>
    <row r="59" spans="1:9" ht="16" customHeight="1">
      <c r="A59" s="1827" t="s">
        <v>388</v>
      </c>
      <c r="B59" s="1905" t="str">
        <f>B52</f>
        <v>Kto. nr.</v>
      </c>
      <c r="C59" s="1854" t="s">
        <v>730</v>
      </c>
      <c r="D59" s="1830">
        <f>budgetår-1</f>
        <v>2025</v>
      </c>
      <c r="E59" s="1831">
        <f>budgetår</f>
        <v>2026</v>
      </c>
      <c r="F59" s="649" t="s">
        <v>834</v>
      </c>
      <c r="G59" s="369"/>
      <c r="H59" s="1832"/>
      <c r="I59" s="1923"/>
    </row>
    <row r="60" spans="1:9" ht="16">
      <c r="A60" s="611">
        <v>1</v>
      </c>
      <c r="B60" s="466"/>
      <c r="C60" s="366"/>
      <c r="D60" s="366"/>
      <c r="E60" s="383"/>
      <c r="F60" s="1627"/>
      <c r="G60" s="369"/>
      <c r="H60" s="1926"/>
      <c r="I60" s="1922">
        <f t="shared" si="0"/>
        <v>0</v>
      </c>
    </row>
    <row r="61" spans="1:9" ht="16" customHeight="1">
      <c r="A61" s="611">
        <v>2</v>
      </c>
      <c r="B61" s="466"/>
      <c r="C61" s="366"/>
      <c r="D61" s="366"/>
      <c r="E61" s="383"/>
      <c r="F61" s="1627"/>
      <c r="G61" s="369"/>
      <c r="H61" s="1926"/>
      <c r="I61" s="1922">
        <f t="shared" si="0"/>
        <v>0</v>
      </c>
    </row>
    <row r="62" spans="1:9" ht="17" thickBot="1">
      <c r="A62" s="1864" t="str">
        <f>"SUM, "&amp;LOWER(C59)</f>
        <v>SUM, tjenesterejser</v>
      </c>
      <c r="B62" s="1852"/>
      <c r="C62" s="1925"/>
      <c r="D62" s="1823">
        <f>SUM(D60:D61)</f>
        <v>0</v>
      </c>
      <c r="E62" s="1823">
        <f t="shared" ref="E62:F62" si="10">SUM(E60:E61)</f>
        <v>0</v>
      </c>
      <c r="F62" s="1823">
        <f t="shared" si="10"/>
        <v>0</v>
      </c>
      <c r="G62" s="369"/>
      <c r="H62" s="1832"/>
      <c r="I62" s="1923"/>
    </row>
    <row r="63" spans="1:9" ht="16">
      <c r="A63" s="1827" t="s">
        <v>388</v>
      </c>
      <c r="B63" s="1905" t="str">
        <f>B59</f>
        <v>Kto. nr.</v>
      </c>
      <c r="C63" s="1854" t="s">
        <v>972</v>
      </c>
      <c r="D63" s="1830">
        <f>budgetår-1</f>
        <v>2025</v>
      </c>
      <c r="E63" s="1831">
        <f>budgetår</f>
        <v>2026</v>
      </c>
      <c r="F63" s="1920" t="s">
        <v>834</v>
      </c>
      <c r="G63" s="369"/>
      <c r="H63" s="1832"/>
      <c r="I63" s="1923"/>
    </row>
    <row r="64" spans="1:9" ht="16">
      <c r="A64" s="611">
        <v>1</v>
      </c>
      <c r="B64" s="466"/>
      <c r="C64" s="446" t="s">
        <v>973</v>
      </c>
      <c r="D64" s="366"/>
      <c r="E64" s="633">
        <f>'lon undervisning'!AF102+'Lon pæd., TAP mm'!BZ89</f>
        <v>0</v>
      </c>
      <c r="F64" s="1927">
        <f>'Lon pæd., TAP mm'!BZ93+'lon undervisning'!AF107-Administration!E64</f>
        <v>0</v>
      </c>
      <c r="G64" s="369"/>
      <c r="H64" s="1921"/>
      <c r="I64" s="1922">
        <f t="shared" si="0"/>
        <v>0</v>
      </c>
    </row>
    <row r="65" spans="1:9" ht="16">
      <c r="A65" s="611">
        <v>2</v>
      </c>
      <c r="B65" s="466"/>
      <c r="C65" s="447" t="s">
        <v>974</v>
      </c>
      <c r="D65" s="408"/>
      <c r="E65" s="634">
        <f>'Lon pæd., TAP mm'!W89</f>
        <v>0</v>
      </c>
      <c r="F65" s="1928">
        <f>'Lon pæd., TAP mm'!W93-'Lon pæd., TAP mm'!W89</f>
        <v>0</v>
      </c>
      <c r="G65" s="369"/>
      <c r="H65" s="1921"/>
      <c r="I65" s="1922">
        <f t="shared" si="0"/>
        <v>0</v>
      </c>
    </row>
    <row r="66" spans="1:9" ht="16">
      <c r="A66" s="611">
        <v>3</v>
      </c>
      <c r="B66" s="466"/>
      <c r="C66" s="447" t="s">
        <v>574</v>
      </c>
      <c r="D66" s="408"/>
      <c r="E66" s="634">
        <f>'Lon pæd., TAP mm'!BA89</f>
        <v>0</v>
      </c>
      <c r="F66" s="1928">
        <f>'Lon pæd., TAP mm'!BA93-'Lon pæd., TAP mm'!BA89</f>
        <v>0</v>
      </c>
      <c r="G66" s="369"/>
      <c r="H66" s="1921"/>
      <c r="I66" s="1922">
        <f t="shared" si="0"/>
        <v>0</v>
      </c>
    </row>
    <row r="67" spans="1:9" s="3" customFormat="1" ht="16">
      <c r="A67" s="611">
        <v>4</v>
      </c>
      <c r="B67" s="466"/>
      <c r="C67" s="447" t="s">
        <v>975</v>
      </c>
      <c r="D67" s="408"/>
      <c r="E67" s="634">
        <f>'Lon pæd., TAP mm'!BN89</f>
        <v>0</v>
      </c>
      <c r="F67" s="1928">
        <f>'Lon pæd., TAP mm'!BN93-'Lon pæd., TAP mm'!BN89</f>
        <v>0</v>
      </c>
      <c r="G67" s="134"/>
      <c r="H67" s="1921"/>
      <c r="I67" s="1922">
        <f t="shared" si="0"/>
        <v>0</v>
      </c>
    </row>
    <row r="68" spans="1:9" ht="16">
      <c r="A68" s="611">
        <v>5</v>
      </c>
      <c r="B68" s="466"/>
      <c r="C68" s="447" t="s">
        <v>571</v>
      </c>
      <c r="D68" s="408"/>
      <c r="E68" s="634">
        <f>'Lon pæd., TAP mm'!CJ89</f>
        <v>0</v>
      </c>
      <c r="F68" s="1928">
        <f>'Lon pæd., TAP mm'!CJ93-'Lon pæd., TAP mm'!CJ89</f>
        <v>0</v>
      </c>
      <c r="G68" s="369"/>
      <c r="H68" s="1921"/>
      <c r="I68" s="1922">
        <f t="shared" si="0"/>
        <v>0</v>
      </c>
    </row>
    <row r="69" spans="1:9" ht="16">
      <c r="A69" s="611">
        <v>6</v>
      </c>
      <c r="B69" s="466"/>
      <c r="C69" s="447" t="s">
        <v>572</v>
      </c>
      <c r="D69" s="408"/>
      <c r="E69" s="634">
        <f>'Lon pæd., TAP mm'!CW89</f>
        <v>0</v>
      </c>
      <c r="F69" s="1928">
        <f>'Lon pæd., TAP mm'!CW93-'Lon pæd., TAP mm'!CW89</f>
        <v>0</v>
      </c>
      <c r="G69" s="369"/>
      <c r="H69" s="1921"/>
      <c r="I69" s="1922">
        <f t="shared" ref="I69:I121" si="11">E69*H69</f>
        <v>0</v>
      </c>
    </row>
    <row r="70" spans="1:9" ht="17" thickBot="1">
      <c r="A70" s="611">
        <v>7</v>
      </c>
      <c r="B70" s="466"/>
      <c r="C70" s="447" t="s">
        <v>976</v>
      </c>
      <c r="D70" s="408"/>
      <c r="E70" s="634">
        <f>'Lon pæd., TAP mm'!DD89</f>
        <v>0</v>
      </c>
      <c r="F70" s="1929">
        <f>'Lon pæd., TAP mm'!DD93-'Lon pæd., TAP mm'!DD89</f>
        <v>0</v>
      </c>
      <c r="G70" s="369"/>
      <c r="H70" s="1921"/>
      <c r="I70" s="1922">
        <f t="shared" si="11"/>
        <v>0</v>
      </c>
    </row>
    <row r="71" spans="1:9" ht="16">
      <c r="A71" s="1864" t="str">
        <f>"SUM, "&amp;LOWER(C63)</f>
        <v>SUM, lovpligtige afgifter personale</v>
      </c>
      <c r="B71" s="1852"/>
      <c r="C71" s="1925"/>
      <c r="D71" s="1823">
        <f>SUM(D64:D70)</f>
        <v>0</v>
      </c>
      <c r="E71" s="1823">
        <f t="shared" ref="E71:F71" si="12">SUM(E64:E70)</f>
        <v>0</v>
      </c>
      <c r="F71" s="1823">
        <f t="shared" si="12"/>
        <v>0</v>
      </c>
      <c r="G71" s="369"/>
      <c r="H71" s="1832"/>
      <c r="I71" s="1923"/>
    </row>
    <row r="72" spans="1:9" ht="16">
      <c r="A72" s="1827" t="s">
        <v>388</v>
      </c>
      <c r="B72" s="1905" t="str">
        <f>B63</f>
        <v>Kto. nr.</v>
      </c>
      <c r="C72" s="1829" t="s">
        <v>977</v>
      </c>
      <c r="D72" s="1830">
        <f>budgetår-1</f>
        <v>2025</v>
      </c>
      <c r="E72" s="1831">
        <f>budgetår</f>
        <v>2026</v>
      </c>
      <c r="F72" s="649" t="s">
        <v>834</v>
      </c>
      <c r="G72" s="369"/>
      <c r="H72" s="1832"/>
      <c r="I72" s="1923"/>
    </row>
    <row r="73" spans="1:9" ht="16">
      <c r="A73" s="611">
        <v>1</v>
      </c>
      <c r="B73" s="466"/>
      <c r="C73" s="449" t="s">
        <v>977</v>
      </c>
      <c r="D73" s="449"/>
      <c r="E73" s="632"/>
      <c r="F73" s="1899"/>
      <c r="G73" s="369"/>
      <c r="H73" s="1921"/>
      <c r="I73" s="1922">
        <f t="shared" si="11"/>
        <v>0</v>
      </c>
    </row>
    <row r="74" spans="1:9" ht="16">
      <c r="A74" s="611">
        <v>2</v>
      </c>
      <c r="B74" s="466"/>
      <c r="C74" s="408"/>
      <c r="D74" s="449"/>
      <c r="E74" s="632"/>
      <c r="F74" s="1899"/>
      <c r="G74" s="369"/>
      <c r="H74" s="1921"/>
      <c r="I74" s="1922">
        <f t="shared" si="11"/>
        <v>0</v>
      </c>
    </row>
    <row r="75" spans="1:9" ht="16">
      <c r="A75" s="1864" t="str">
        <f>"SUM, "&amp;LOWER(C72)</f>
        <v>SUM, repræsentation</v>
      </c>
      <c r="B75" s="1865"/>
      <c r="C75" s="1902"/>
      <c r="D75" s="1903">
        <f>SUM(D73:D74)</f>
        <v>0</v>
      </c>
      <c r="E75" s="1903">
        <f t="shared" ref="E75:F75" si="13">SUM(E73:E74)</f>
        <v>0</v>
      </c>
      <c r="F75" s="1903">
        <f t="shared" si="13"/>
        <v>0</v>
      </c>
      <c r="G75" s="369"/>
      <c r="H75" s="1832"/>
      <c r="I75" s="1923"/>
    </row>
    <row r="76" spans="1:9" ht="16">
      <c r="A76" s="1827" t="s">
        <v>388</v>
      </c>
      <c r="B76" s="1905" t="str">
        <f>B72</f>
        <v>Kto. nr.</v>
      </c>
      <c r="C76" s="1854" t="s">
        <v>978</v>
      </c>
      <c r="D76" s="1830">
        <f>budgetår-1</f>
        <v>2025</v>
      </c>
      <c r="E76" s="1831">
        <f>budgetår</f>
        <v>2026</v>
      </c>
      <c r="F76" s="649" t="s">
        <v>834</v>
      </c>
      <c r="G76" s="369"/>
      <c r="H76" s="1832"/>
      <c r="I76" s="1923"/>
    </row>
    <row r="77" spans="1:9" ht="16">
      <c r="A77" s="611">
        <v>1</v>
      </c>
      <c r="B77" s="466"/>
      <c r="C77" s="366" t="s">
        <v>979</v>
      </c>
      <c r="D77" s="366"/>
      <c r="E77" s="383"/>
      <c r="F77" s="1627"/>
      <c r="G77" s="369"/>
      <c r="H77" s="1921"/>
      <c r="I77" s="1922">
        <f t="shared" si="11"/>
        <v>0</v>
      </c>
    </row>
    <row r="78" spans="1:9" ht="16">
      <c r="A78" s="611">
        <v>2</v>
      </c>
      <c r="B78" s="466"/>
      <c r="C78" s="408" t="s">
        <v>980</v>
      </c>
      <c r="D78" s="408"/>
      <c r="E78" s="626"/>
      <c r="F78" s="1899"/>
      <c r="G78" s="369"/>
      <c r="H78" s="1921"/>
      <c r="I78" s="1922">
        <f t="shared" si="11"/>
        <v>0</v>
      </c>
    </row>
    <row r="79" spans="1:9" s="3" customFormat="1" ht="16">
      <c r="A79" s="611">
        <v>3</v>
      </c>
      <c r="B79" s="466"/>
      <c r="C79" s="408" t="s">
        <v>981</v>
      </c>
      <c r="D79" s="408"/>
      <c r="E79" s="626"/>
      <c r="F79" s="1899"/>
      <c r="G79" s="134"/>
      <c r="H79" s="1921"/>
      <c r="I79" s="1922">
        <f t="shared" si="11"/>
        <v>0</v>
      </c>
    </row>
    <row r="80" spans="1:9" ht="16">
      <c r="A80" s="611">
        <v>4</v>
      </c>
      <c r="B80" s="466"/>
      <c r="C80" s="366"/>
      <c r="D80" s="366"/>
      <c r="E80" s="383"/>
      <c r="F80" s="1627"/>
      <c r="G80" s="369"/>
      <c r="H80" s="1921"/>
      <c r="I80" s="1922">
        <f t="shared" si="11"/>
        <v>0</v>
      </c>
    </row>
    <row r="81" spans="1:9" ht="16">
      <c r="A81" s="1864" t="str">
        <f>"SUM, "&amp;LOWER(C76)</f>
        <v>SUM, kontorartikler, porto og telefon</v>
      </c>
      <c r="B81" s="1852"/>
      <c r="C81" s="1925"/>
      <c r="D81" s="1823">
        <f>SUM(D77:D80)</f>
        <v>0</v>
      </c>
      <c r="E81" s="1823">
        <f t="shared" ref="E81:F81" si="14">SUM(E77:E80)</f>
        <v>0</v>
      </c>
      <c r="F81" s="1823">
        <f t="shared" si="14"/>
        <v>0</v>
      </c>
      <c r="G81" s="369"/>
      <c r="H81" s="1832"/>
      <c r="I81" s="1923"/>
    </row>
    <row r="82" spans="1:9" ht="17" thickBot="1">
      <c r="A82" s="1827" t="s">
        <v>388</v>
      </c>
      <c r="B82" s="1905" t="str">
        <f>B76</f>
        <v>Kto. nr.</v>
      </c>
      <c r="C82" s="1829" t="s">
        <v>982</v>
      </c>
      <c r="D82" s="1830">
        <f>budgetår-1</f>
        <v>2025</v>
      </c>
      <c r="E82" s="1831">
        <f>budgetår</f>
        <v>2026</v>
      </c>
      <c r="F82" s="649" t="s">
        <v>834</v>
      </c>
      <c r="G82" s="369"/>
      <c r="H82" s="1832"/>
      <c r="I82" s="1923"/>
    </row>
    <row r="83" spans="1:9" ht="51">
      <c r="A83" s="611">
        <v>1</v>
      </c>
      <c r="B83" s="466"/>
      <c r="C83" s="450" t="s">
        <v>983</v>
      </c>
      <c r="D83" s="451"/>
      <c r="E83" s="631">
        <f>(elevtal_1*(DFkont+SatsBilag!B33)+SatsBilag!B34)</f>
        <v>9167</v>
      </c>
      <c r="F83" s="1930">
        <f>(Elevtal*(DFkont+SatsBilag!B33)+SatsBilag!B34)-E83</f>
        <v>0</v>
      </c>
      <c r="G83" s="369"/>
      <c r="H83" s="1921"/>
      <c r="I83" s="1922">
        <f t="shared" si="11"/>
        <v>0</v>
      </c>
    </row>
    <row r="84" spans="1:9" ht="16">
      <c r="A84" s="611">
        <v>2</v>
      </c>
      <c r="B84" s="466"/>
      <c r="C84" s="452" t="s">
        <v>984</v>
      </c>
      <c r="D84" s="451"/>
      <c r="E84" s="631">
        <f>IF(AND(elevtal_1&gt;220),(elevtal_1-220)*(SatsBilag!B32-DFkont),0)</f>
        <v>0</v>
      </c>
      <c r="F84" s="1931">
        <f>IF(AND(Elevtal&gt;220),(Elevtal-220)*(SatsBilag!B32-DFkont)-E84,0)</f>
        <v>0</v>
      </c>
      <c r="G84" s="369"/>
      <c r="H84" s="1921"/>
      <c r="I84" s="1922">
        <f t="shared" si="11"/>
        <v>0</v>
      </c>
    </row>
    <row r="85" spans="1:9" ht="16">
      <c r="A85" s="611">
        <v>5</v>
      </c>
      <c r="B85" s="466"/>
      <c r="C85" s="452" t="s">
        <v>985</v>
      </c>
      <c r="D85" s="451"/>
      <c r="E85" s="631">
        <f>SatsBilag!B35*(Hovedskema!E8+Hovedskema!E9)</f>
        <v>0</v>
      </c>
      <c r="F85" s="1932">
        <f>SatsBilag!B35*(Hovedskema!F8+Hovedskema!F9)-E85</f>
        <v>0</v>
      </c>
      <c r="G85" s="369"/>
      <c r="H85" s="1921"/>
      <c r="I85" s="1922">
        <f t="shared" si="11"/>
        <v>0</v>
      </c>
    </row>
    <row r="86" spans="1:9" ht="17" thickBot="1">
      <c r="A86" s="611">
        <v>7</v>
      </c>
      <c r="B86" s="466"/>
      <c r="C86" s="448"/>
      <c r="D86" s="408"/>
      <c r="E86" s="632"/>
      <c r="F86" s="1900"/>
      <c r="G86" s="369"/>
      <c r="H86" s="1921"/>
      <c r="I86" s="1922">
        <f t="shared" si="11"/>
        <v>0</v>
      </c>
    </row>
    <row r="87" spans="1:9" ht="16">
      <c r="A87" s="1864" t="str">
        <f>"SUM, "&amp;LOWER(C82)</f>
        <v>SUM, kontingent til skoleforeninger</v>
      </c>
      <c r="B87" s="1865"/>
      <c r="C87" s="1902"/>
      <c r="D87" s="1903">
        <f>SUM(D83:D86)</f>
        <v>0</v>
      </c>
      <c r="E87" s="1903">
        <f t="shared" ref="E87:F87" si="15">SUM(E83:E86)</f>
        <v>9167</v>
      </c>
      <c r="F87" s="1903">
        <f t="shared" si="15"/>
        <v>0</v>
      </c>
      <c r="G87" s="369"/>
      <c r="H87" s="1832"/>
      <c r="I87" s="1923"/>
    </row>
    <row r="88" spans="1:9" ht="17" thickBot="1">
      <c r="A88" s="1827" t="s">
        <v>388</v>
      </c>
      <c r="B88" s="1905" t="str">
        <f>B82</f>
        <v>Kto. nr.</v>
      </c>
      <c r="C88" s="1829" t="s">
        <v>986</v>
      </c>
      <c r="D88" s="1830">
        <f>budgetår-1</f>
        <v>2025</v>
      </c>
      <c r="E88" s="1831">
        <f>budgetår</f>
        <v>2026</v>
      </c>
      <c r="F88" s="649" t="s">
        <v>834</v>
      </c>
      <c r="G88" s="369"/>
      <c r="H88" s="1832"/>
      <c r="I88" s="1923"/>
    </row>
    <row r="89" spans="1:9" ht="16">
      <c r="A89" s="611">
        <v>1</v>
      </c>
      <c r="B89" s="466"/>
      <c r="C89" s="448" t="str">
        <f>Vik.kas&amp;" kr. pr. elev 5. sep."</f>
        <v>40 kr. pr. elev 5. sep.</v>
      </c>
      <c r="D89" s="408"/>
      <c r="E89" s="631">
        <f>(elevtal_1)*Vik.kas</f>
        <v>0</v>
      </c>
      <c r="F89" s="657">
        <f>Elevtal*Vik.kas-E89</f>
        <v>0</v>
      </c>
      <c r="G89" s="369"/>
      <c r="H89" s="1921"/>
      <c r="I89" s="1922">
        <f t="shared" si="11"/>
        <v>0</v>
      </c>
    </row>
    <row r="90" spans="1:9" ht="17" thickBot="1">
      <c r="A90" s="611">
        <v>2</v>
      </c>
      <c r="B90" s="466"/>
      <c r="C90" s="408"/>
      <c r="D90" s="408"/>
      <c r="E90" s="626"/>
      <c r="F90" s="1900"/>
      <c r="G90" s="369"/>
      <c r="H90" s="1921"/>
      <c r="I90" s="1922">
        <f t="shared" si="11"/>
        <v>0</v>
      </c>
    </row>
    <row r="91" spans="1:9" ht="16">
      <c r="A91" s="1864" t="str">
        <f>"SUM, "&amp;LOWER(C88)</f>
        <v>SUM, bidrag til fordelingssekretariatet</v>
      </c>
      <c r="B91" s="1865"/>
      <c r="C91" s="1902"/>
      <c r="D91" s="1903">
        <f>SUM(D89:D90)</f>
        <v>0</v>
      </c>
      <c r="E91" s="1903">
        <f t="shared" ref="E91:F91" si="16">SUM(E89:E90)</f>
        <v>0</v>
      </c>
      <c r="F91" s="1903">
        <f t="shared" si="16"/>
        <v>0</v>
      </c>
      <c r="G91" s="369"/>
      <c r="H91" s="1832"/>
      <c r="I91" s="1923"/>
    </row>
    <row r="92" spans="1:9" ht="16">
      <c r="A92" s="1827" t="s">
        <v>388</v>
      </c>
      <c r="B92" s="1905" t="str">
        <f>B88</f>
        <v>Kto. nr.</v>
      </c>
      <c r="C92" s="1829" t="s">
        <v>733</v>
      </c>
      <c r="D92" s="1830">
        <f>budgetår-1</f>
        <v>2025</v>
      </c>
      <c r="E92" s="1831">
        <f>budgetår</f>
        <v>2026</v>
      </c>
      <c r="F92" s="649" t="s">
        <v>834</v>
      </c>
      <c r="G92" s="369"/>
      <c r="H92" s="1832"/>
      <c r="I92" s="1923"/>
    </row>
    <row r="93" spans="1:9" ht="16">
      <c r="A93" s="611">
        <v>1</v>
      </c>
      <c r="B93" s="466"/>
      <c r="C93" s="408" t="s">
        <v>987</v>
      </c>
      <c r="D93" s="408"/>
      <c r="E93" s="626"/>
      <c r="F93" s="1899"/>
      <c r="G93" s="369"/>
      <c r="H93" s="1921"/>
      <c r="I93" s="1922">
        <f t="shared" si="11"/>
        <v>0</v>
      </c>
    </row>
    <row r="94" spans="1:9" ht="16">
      <c r="A94" s="611">
        <v>2</v>
      </c>
      <c r="B94" s="466"/>
      <c r="C94" s="408" t="s">
        <v>853</v>
      </c>
      <c r="D94" s="408"/>
      <c r="E94" s="626"/>
      <c r="F94" s="1899"/>
      <c r="G94" s="369"/>
      <c r="H94" s="1921"/>
      <c r="I94" s="1922">
        <f t="shared" si="11"/>
        <v>0</v>
      </c>
    </row>
    <row r="95" spans="1:9" ht="16">
      <c r="A95" s="611">
        <v>3</v>
      </c>
      <c r="B95" s="466"/>
      <c r="C95" s="408" t="s">
        <v>988</v>
      </c>
      <c r="D95" s="408"/>
      <c r="E95" s="626"/>
      <c r="F95" s="1899"/>
      <c r="G95" s="369"/>
      <c r="H95" s="1921"/>
      <c r="I95" s="1922">
        <f t="shared" si="11"/>
        <v>0</v>
      </c>
    </row>
    <row r="96" spans="1:9" ht="16">
      <c r="A96" s="611">
        <v>4</v>
      </c>
      <c r="B96" s="466"/>
      <c r="C96" s="408"/>
      <c r="D96" s="408"/>
      <c r="E96" s="626"/>
      <c r="F96" s="1899"/>
      <c r="G96" s="369"/>
      <c r="H96" s="1921"/>
      <c r="I96" s="1922">
        <f t="shared" si="11"/>
        <v>0</v>
      </c>
    </row>
    <row r="97" spans="1:9" ht="16">
      <c r="A97" s="611">
        <v>5</v>
      </c>
      <c r="B97" s="466"/>
      <c r="C97" s="408"/>
      <c r="D97" s="408"/>
      <c r="E97" s="626"/>
      <c r="F97" s="1899"/>
      <c r="G97" s="369"/>
      <c r="H97" s="1921"/>
      <c r="I97" s="1922">
        <f t="shared" si="11"/>
        <v>0</v>
      </c>
    </row>
    <row r="98" spans="1:9" ht="16">
      <c r="A98" s="1864" t="str">
        <f>"SUM, "&amp;LOWER(C92)</f>
        <v>SUM, inventar og udstyr</v>
      </c>
      <c r="B98" s="1852"/>
      <c r="C98" s="1933"/>
      <c r="D98" s="1934">
        <f>SUM(D93:D97)</f>
        <v>0</v>
      </c>
      <c r="E98" s="1934">
        <f t="shared" ref="E98:F98" si="17">SUM(E93:E97)</f>
        <v>0</v>
      </c>
      <c r="F98" s="1934">
        <f t="shared" si="17"/>
        <v>0</v>
      </c>
      <c r="G98" s="369"/>
      <c r="H98" s="1832"/>
      <c r="I98" s="1923"/>
    </row>
    <row r="99" spans="1:9" ht="16" customHeight="1">
      <c r="A99" s="1827" t="s">
        <v>388</v>
      </c>
      <c r="B99" s="1905" t="str">
        <f>B92</f>
        <v>Kto. nr.</v>
      </c>
      <c r="C99" s="1829" t="s">
        <v>743</v>
      </c>
      <c r="D99" s="1830">
        <f>budgetår-1</f>
        <v>2025</v>
      </c>
      <c r="E99" s="1831">
        <f>budgetår</f>
        <v>2026</v>
      </c>
      <c r="F99" s="649" t="s">
        <v>834</v>
      </c>
      <c r="G99" s="369"/>
      <c r="H99" s="1832"/>
      <c r="I99" s="1923"/>
    </row>
    <row r="100" spans="1:9" ht="16">
      <c r="A100" s="611">
        <v>1</v>
      </c>
      <c r="B100" s="466"/>
      <c r="C100" s="408" t="s">
        <v>989</v>
      </c>
      <c r="D100" s="408"/>
      <c r="E100" s="626"/>
      <c r="F100" s="1899"/>
      <c r="G100" s="369"/>
      <c r="H100" s="1921"/>
      <c r="I100" s="1922">
        <f t="shared" si="11"/>
        <v>0</v>
      </c>
    </row>
    <row r="101" spans="1:9" ht="16">
      <c r="A101" s="611">
        <v>2</v>
      </c>
      <c r="B101" s="466"/>
      <c r="C101" s="408" t="s">
        <v>747</v>
      </c>
      <c r="D101" s="408"/>
      <c r="E101" s="626"/>
      <c r="F101" s="1899"/>
      <c r="G101" s="369"/>
      <c r="H101" s="1921"/>
      <c r="I101" s="1922">
        <f t="shared" si="11"/>
        <v>0</v>
      </c>
    </row>
    <row r="102" spans="1:9" ht="16">
      <c r="A102" s="611">
        <v>3</v>
      </c>
      <c r="B102" s="466"/>
      <c r="C102" s="408" t="s">
        <v>990</v>
      </c>
      <c r="D102" s="408"/>
      <c r="E102" s="626"/>
      <c r="F102" s="1899"/>
      <c r="G102" s="369"/>
      <c r="H102" s="1921"/>
      <c r="I102" s="1922">
        <f t="shared" si="11"/>
        <v>0</v>
      </c>
    </row>
    <row r="103" spans="1:9" ht="16">
      <c r="A103" s="611">
        <v>4</v>
      </c>
      <c r="B103" s="466"/>
      <c r="C103" s="408" t="s">
        <v>991</v>
      </c>
      <c r="D103" s="408"/>
      <c r="E103" s="626"/>
      <c r="F103" s="1899"/>
      <c r="G103" s="369"/>
      <c r="H103" s="1921"/>
      <c r="I103" s="1922">
        <f t="shared" si="11"/>
        <v>0</v>
      </c>
    </row>
    <row r="104" spans="1:9" ht="13" customHeight="1">
      <c r="A104" s="611">
        <v>5</v>
      </c>
      <c r="B104" s="466"/>
      <c r="C104" s="408" t="s">
        <v>992</v>
      </c>
      <c r="D104" s="408"/>
      <c r="E104" s="626"/>
      <c r="F104" s="1899"/>
      <c r="G104" s="369"/>
      <c r="H104" s="1921"/>
      <c r="I104" s="1922">
        <f t="shared" si="11"/>
        <v>0</v>
      </c>
    </row>
    <row r="105" spans="1:9" ht="16">
      <c r="A105" s="1864" t="str">
        <f>"SUM, "&amp;LOWER(C99)</f>
        <v>SUM, it-omkostninger</v>
      </c>
      <c r="B105" s="1852"/>
      <c r="C105" s="1933"/>
      <c r="D105" s="1934">
        <f>SUM(D100:D104)</f>
        <v>0</v>
      </c>
      <c r="E105" s="1934">
        <f>SUM(E100:E104)</f>
        <v>0</v>
      </c>
      <c r="F105" s="1934">
        <f>SUM(F100:F104)</f>
        <v>0</v>
      </c>
      <c r="G105" s="369"/>
      <c r="H105" s="1832"/>
      <c r="I105" s="1923"/>
    </row>
    <row r="106" spans="1:9" ht="16">
      <c r="A106" s="1827" t="s">
        <v>388</v>
      </c>
      <c r="B106" s="1905" t="str">
        <f>B99</f>
        <v>Kto. nr.</v>
      </c>
      <c r="C106" s="1854" t="s">
        <v>993</v>
      </c>
      <c r="D106" s="1830">
        <f>budgetår-1</f>
        <v>2025</v>
      </c>
      <c r="E106" s="1831">
        <f>budgetår</f>
        <v>2026</v>
      </c>
      <c r="F106" s="649" t="s">
        <v>834</v>
      </c>
      <c r="G106" s="369"/>
      <c r="H106" s="1832"/>
      <c r="I106" s="1923"/>
    </row>
    <row r="107" spans="1:9" ht="16">
      <c r="A107" s="611">
        <v>1</v>
      </c>
      <c r="B107" s="466"/>
      <c r="C107" s="366" t="s">
        <v>994</v>
      </c>
      <c r="D107" s="366"/>
      <c r="E107" s="383"/>
      <c r="F107" s="1627"/>
      <c r="G107" s="369"/>
      <c r="H107" s="1921"/>
      <c r="I107" s="1922">
        <f t="shared" si="11"/>
        <v>0</v>
      </c>
    </row>
    <row r="108" spans="1:9" ht="16">
      <c r="A108" s="611">
        <v>2</v>
      </c>
      <c r="B108" s="466"/>
      <c r="C108" s="366"/>
      <c r="D108" s="366"/>
      <c r="E108" s="383"/>
      <c r="F108" s="1627"/>
      <c r="G108" s="369"/>
      <c r="H108" s="1921"/>
      <c r="I108" s="1922">
        <f t="shared" si="11"/>
        <v>0</v>
      </c>
    </row>
    <row r="109" spans="1:9" ht="16">
      <c r="A109" s="1864" t="str">
        <f>"SUM, "&amp;LOWER(C106)</f>
        <v>SUM, tab, debitorer</v>
      </c>
      <c r="B109" s="1852"/>
      <c r="C109" s="1925"/>
      <c r="D109" s="1823">
        <f>SUM(D107:D108)</f>
        <v>0</v>
      </c>
      <c r="E109" s="1823">
        <f t="shared" ref="E109:F109" si="18">SUM(E107:E108)</f>
        <v>0</v>
      </c>
      <c r="F109" s="1823">
        <f t="shared" si="18"/>
        <v>0</v>
      </c>
      <c r="G109" s="369"/>
      <c r="H109" s="1832"/>
      <c r="I109" s="1923"/>
    </row>
    <row r="110" spans="1:9" ht="16">
      <c r="A110" s="1827" t="s">
        <v>388</v>
      </c>
      <c r="B110" s="1905" t="str">
        <f>B106</f>
        <v>Kto. nr.</v>
      </c>
      <c r="C110" s="1829" t="s">
        <v>995</v>
      </c>
      <c r="D110" s="1830">
        <f>budgetår-1</f>
        <v>2025</v>
      </c>
      <c r="E110" s="1831">
        <f>budgetår</f>
        <v>2026</v>
      </c>
      <c r="F110" s="649" t="s">
        <v>834</v>
      </c>
      <c r="G110" s="369"/>
      <c r="H110" s="1832"/>
      <c r="I110" s="1923"/>
    </row>
    <row r="111" spans="1:9" ht="16">
      <c r="A111" s="611">
        <v>1</v>
      </c>
      <c r="B111" s="466"/>
      <c r="C111" s="365"/>
      <c r="D111" s="411"/>
      <c r="E111" s="627"/>
      <c r="F111" s="1628"/>
      <c r="G111" s="369"/>
      <c r="H111" s="1921"/>
      <c r="I111" s="1922">
        <f t="shared" si="11"/>
        <v>0</v>
      </c>
    </row>
    <row r="112" spans="1:9" ht="16">
      <c r="A112" s="611">
        <v>2</v>
      </c>
      <c r="B112" s="466"/>
      <c r="C112" s="365"/>
      <c r="D112" s="411"/>
      <c r="E112" s="412"/>
      <c r="F112" s="1628"/>
      <c r="G112" s="369"/>
      <c r="H112" s="1921"/>
      <c r="I112" s="1922">
        <f t="shared" si="11"/>
        <v>0</v>
      </c>
    </row>
    <row r="113" spans="1:9" ht="16">
      <c r="A113" s="1864" t="s">
        <v>996</v>
      </c>
      <c r="B113" s="1865"/>
      <c r="C113" s="1935"/>
      <c r="D113" s="1903">
        <f>SUM(D111:D112)</f>
        <v>0</v>
      </c>
      <c r="E113" s="1903">
        <f t="shared" ref="E113:F113" si="19">SUM(E111:E112)</f>
        <v>0</v>
      </c>
      <c r="F113" s="1903">
        <f t="shared" si="19"/>
        <v>0</v>
      </c>
      <c r="G113" s="369"/>
      <c r="H113" s="1832"/>
      <c r="I113" s="1923"/>
    </row>
    <row r="114" spans="1:9" ht="16">
      <c r="A114" s="1827" t="s">
        <v>388</v>
      </c>
      <c r="B114" s="1905" t="str">
        <f>B110</f>
        <v>Kto. nr.</v>
      </c>
      <c r="C114" s="1829" t="s">
        <v>753</v>
      </c>
      <c r="D114" s="1830">
        <f>budgetår-1</f>
        <v>2025</v>
      </c>
      <c r="E114" s="1831">
        <f>budgetår</f>
        <v>2026</v>
      </c>
      <c r="F114" s="649" t="s">
        <v>834</v>
      </c>
      <c r="G114" s="369"/>
      <c r="H114" s="1832"/>
      <c r="I114" s="1923"/>
    </row>
    <row r="115" spans="1:9" ht="16">
      <c r="A115" s="611">
        <v>1</v>
      </c>
      <c r="B115" s="466"/>
      <c r="C115" s="408" t="s">
        <v>997</v>
      </c>
      <c r="D115" s="408"/>
      <c r="E115" s="626"/>
      <c r="F115" s="1899"/>
      <c r="G115" s="369"/>
      <c r="H115" s="1921"/>
      <c r="I115" s="1922">
        <f t="shared" si="11"/>
        <v>0</v>
      </c>
    </row>
    <row r="116" spans="1:9" ht="16">
      <c r="A116" s="611">
        <v>2</v>
      </c>
      <c r="B116" s="466"/>
      <c r="C116" s="408" t="s">
        <v>998</v>
      </c>
      <c r="D116" s="408"/>
      <c r="E116" s="626"/>
      <c r="F116" s="1899"/>
      <c r="G116" s="369"/>
      <c r="H116" s="1921"/>
      <c r="I116" s="1922">
        <f t="shared" si="11"/>
        <v>0</v>
      </c>
    </row>
    <row r="117" spans="1:9" ht="16">
      <c r="A117" s="611">
        <v>3</v>
      </c>
      <c r="B117" s="466"/>
      <c r="C117" s="408"/>
      <c r="D117" s="408"/>
      <c r="E117" s="626"/>
      <c r="F117" s="1899"/>
      <c r="G117" s="369"/>
      <c r="H117" s="1921"/>
      <c r="I117" s="1922">
        <f t="shared" si="11"/>
        <v>0</v>
      </c>
    </row>
    <row r="118" spans="1:9" ht="16">
      <c r="A118" s="611">
        <v>4</v>
      </c>
      <c r="B118" s="466"/>
      <c r="C118" s="408"/>
      <c r="D118" s="408"/>
      <c r="E118" s="626"/>
      <c r="F118" s="1899"/>
      <c r="G118" s="369"/>
      <c r="H118" s="1921"/>
      <c r="I118" s="1922">
        <f t="shared" si="11"/>
        <v>0</v>
      </c>
    </row>
    <row r="119" spans="1:9" ht="16">
      <c r="A119" s="611">
        <v>5</v>
      </c>
      <c r="B119" s="466"/>
      <c r="C119" s="408"/>
      <c r="D119" s="408"/>
      <c r="E119" s="626"/>
      <c r="F119" s="1899"/>
      <c r="G119" s="369"/>
      <c r="H119" s="1921"/>
      <c r="I119" s="1922">
        <f t="shared" si="11"/>
        <v>0</v>
      </c>
    </row>
    <row r="120" spans="1:9" ht="16">
      <c r="A120" s="611">
        <v>6</v>
      </c>
      <c r="B120" s="466"/>
      <c r="C120" s="408"/>
      <c r="D120" s="408"/>
      <c r="E120" s="626"/>
      <c r="F120" s="1899"/>
      <c r="G120" s="369"/>
      <c r="H120" s="1921"/>
      <c r="I120" s="1922">
        <f t="shared" si="11"/>
        <v>0</v>
      </c>
    </row>
    <row r="121" spans="1:9" ht="17" thickBot="1">
      <c r="A121" s="611">
        <v>7</v>
      </c>
      <c r="B121" s="475"/>
      <c r="C121" s="453"/>
      <c r="D121" s="408"/>
      <c r="E121" s="626"/>
      <c r="F121" s="1900"/>
      <c r="G121" s="369"/>
      <c r="H121" s="1921"/>
      <c r="I121" s="1922">
        <f t="shared" si="11"/>
        <v>0</v>
      </c>
    </row>
    <row r="122" spans="1:9" ht="17" thickBot="1">
      <c r="A122" s="1851" t="str">
        <f>"SUM, "&amp;LOWER(C114)</f>
        <v>SUM, øvrige omkostninger</v>
      </c>
      <c r="B122" s="1852"/>
      <c r="C122" s="1933"/>
      <c r="D122" s="1934">
        <f>SUM(D115:D121)</f>
        <v>0</v>
      </c>
      <c r="E122" s="1934">
        <f t="shared" ref="E122:F122" si="20">SUM(E115:E121)</f>
        <v>0</v>
      </c>
      <c r="F122" s="1934">
        <f t="shared" si="20"/>
        <v>0</v>
      </c>
      <c r="G122" s="369"/>
      <c r="H122" s="3454" t="s">
        <v>999</v>
      </c>
      <c r="I122" s="3448">
        <f>SUM(I4:I121)</f>
        <v>0</v>
      </c>
    </row>
    <row r="123" spans="1:9" ht="17" thickBot="1">
      <c r="A123" s="1936" t="str">
        <f>"Administration i alt til hovedskema lin. 63"</f>
        <v>Administration i alt til hovedskema lin. 63</v>
      </c>
      <c r="B123" s="1937"/>
      <c r="C123" s="1938"/>
      <c r="D123" s="1939"/>
      <c r="E123" s="926"/>
      <c r="F123" s="1940">
        <f>E122+E109+E105+E98+E91+E87+E81+E75+E71+E62+E58+E51+E43+E35+E31+E23+E15+E11+E6</f>
        <v>9167</v>
      </c>
      <c r="G123" s="369"/>
      <c r="H123" s="3455"/>
      <c r="I123" s="3449"/>
    </row>
    <row r="124" spans="1:9" ht="20" customHeight="1">
      <c r="A124" s="637"/>
      <c r="B124" s="638" t="str">
        <f>"Ændringer administrationsudgifter"&amp;E114+1&amp;" total i forhold til "&amp;E114&amp;":"</f>
        <v>Ændringer administrationsudgifter2027 total i forhold til 2026:</v>
      </c>
      <c r="C124" s="639"/>
      <c r="D124" s="639"/>
      <c r="E124" s="639"/>
      <c r="F124" s="639">
        <f>SUM(F115:F121)+SUM(F107:F108)+SUM(F100:F104)+SUM(F93:F97)+SUM(F89:F90)+SUM(F83:F86)+SUM(F77:F80)+SUM(F73:F74)+SUM(F64:F70)+SUM(F60:F61)+SUM(F53:F57)+SUM(F45:F50)+SUM(F37:F42)+SUM(F33:F34)+SUM(F25:F30)+SUM(F17:F22)+SUM(F13:F14)+SUM(F8:F10)+SUM(F4:F5)</f>
        <v>0</v>
      </c>
      <c r="G124" s="369"/>
      <c r="H124" s="369"/>
      <c r="I124" s="369"/>
    </row>
    <row r="125" spans="1:9" ht="22" customHeight="1">
      <c r="A125" s="640"/>
      <c r="B125" s="638" t="str">
        <f>"Ændringer afskrivninger "&amp;E114+1&amp;" total i forhold til "&amp;E114&amp;":"</f>
        <v>Ændringer afskrivninger 2027 total i forhold til 2026:</v>
      </c>
      <c r="C125" s="618"/>
      <c r="D125" s="618"/>
      <c r="E125" s="618"/>
      <c r="F125" s="618">
        <f>SUM(F111:F112)</f>
        <v>0</v>
      </c>
      <c r="G125" s="369"/>
      <c r="H125" s="369"/>
      <c r="I125" s="369"/>
    </row>
    <row r="126" spans="1:9" ht="17" thickBot="1">
      <c r="A126" s="400"/>
      <c r="B126" s="454"/>
      <c r="C126" s="369"/>
      <c r="D126" s="369"/>
      <c r="E126" s="369"/>
      <c r="F126" s="369"/>
      <c r="G126" s="369"/>
      <c r="H126" s="369"/>
      <c r="I126" s="369"/>
    </row>
    <row r="127" spans="1:9" ht="17" thickBot="1">
      <c r="A127" s="455"/>
      <c r="B127" s="456"/>
      <c r="C127" s="369"/>
      <c r="D127" s="369"/>
      <c r="E127" s="369"/>
      <c r="F127" s="369"/>
      <c r="G127" s="369"/>
      <c r="H127" s="3456" t="s">
        <v>1000</v>
      </c>
      <c r="I127" s="3457"/>
    </row>
    <row r="128" spans="1:9" ht="16">
      <c r="A128" s="1941" t="s">
        <v>388</v>
      </c>
      <c r="B128" s="1942" t="str">
        <f>B114</f>
        <v>Kto. nr.</v>
      </c>
      <c r="C128" s="1943" t="s">
        <v>1001</v>
      </c>
      <c r="D128" s="1844">
        <f>budgetår-1</f>
        <v>2025</v>
      </c>
      <c r="E128" s="1845">
        <f>budgetår</f>
        <v>2026</v>
      </c>
      <c r="F128" s="1920" t="s">
        <v>834</v>
      </c>
      <c r="G128" s="369"/>
      <c r="H128" s="457" t="s">
        <v>883</v>
      </c>
      <c r="I128" s="458" t="s">
        <v>603</v>
      </c>
    </row>
    <row r="129" spans="1:9" ht="16">
      <c r="A129" s="1944">
        <v>1</v>
      </c>
      <c r="B129" s="1945"/>
      <c r="C129" s="1946" t="s">
        <v>1002</v>
      </c>
      <c r="D129" s="1834"/>
      <c r="E129" s="1835"/>
      <c r="F129" s="1627"/>
      <c r="G129" s="369"/>
      <c r="H129" s="1921"/>
      <c r="I129" s="1922">
        <f>E129*H129</f>
        <v>0</v>
      </c>
    </row>
    <row r="130" spans="1:9" ht="16">
      <c r="A130" s="635">
        <v>2</v>
      </c>
      <c r="B130" s="476"/>
      <c r="C130" s="365" t="s">
        <v>1003</v>
      </c>
      <c r="D130" s="366"/>
      <c r="E130" s="383"/>
      <c r="F130" s="1627"/>
      <c r="G130" s="369"/>
      <c r="H130" s="1921"/>
      <c r="I130" s="1922">
        <f t="shared" ref="I130:I132" si="21">E130*H130</f>
        <v>0</v>
      </c>
    </row>
    <row r="131" spans="1:9" ht="16">
      <c r="A131" s="635">
        <v>3</v>
      </c>
      <c r="B131" s="476"/>
      <c r="C131" s="365" t="s">
        <v>245</v>
      </c>
      <c r="D131" s="366"/>
      <c r="E131" s="383"/>
      <c r="F131" s="1627"/>
      <c r="G131" s="369"/>
      <c r="H131" s="1921"/>
      <c r="I131" s="1922">
        <f t="shared" si="21"/>
        <v>0</v>
      </c>
    </row>
    <row r="132" spans="1:9" ht="17" thickBot="1">
      <c r="A132" s="636">
        <v>4</v>
      </c>
      <c r="B132" s="477"/>
      <c r="C132" s="459" t="s">
        <v>1004</v>
      </c>
      <c r="D132" s="397"/>
      <c r="E132" s="396"/>
      <c r="F132" s="1627"/>
      <c r="G132" s="369"/>
      <c r="H132" s="1921"/>
      <c r="I132" s="1922">
        <f t="shared" si="21"/>
        <v>0</v>
      </c>
    </row>
    <row r="133" spans="1:9" ht="17" thickBot="1">
      <c r="A133" s="1947" t="s">
        <v>368</v>
      </c>
      <c r="B133" s="1948"/>
      <c r="C133" s="1949" t="s">
        <v>1001</v>
      </c>
      <c r="D133" s="1950">
        <f>SUM(D129:D132)</f>
        <v>0</v>
      </c>
      <c r="E133" s="1950">
        <f t="shared" ref="E133:F133" si="22">SUM(E129:E132)</f>
        <v>0</v>
      </c>
      <c r="F133" s="1950">
        <f t="shared" si="22"/>
        <v>0</v>
      </c>
      <c r="G133" s="369"/>
      <c r="H133" s="1951" t="s">
        <v>1005</v>
      </c>
      <c r="I133" s="1952">
        <f>SUM(I129:I132)</f>
        <v>0</v>
      </c>
    </row>
    <row r="134" spans="1:9" ht="16">
      <c r="A134" s="1953" t="s">
        <v>388</v>
      </c>
      <c r="B134" s="1954" t="str">
        <f>B128</f>
        <v>Kto. nr.</v>
      </c>
      <c r="C134" s="1955" t="s">
        <v>1006</v>
      </c>
      <c r="D134" s="1956">
        <f>budgetår-1</f>
        <v>2025</v>
      </c>
      <c r="E134" s="1957">
        <f>budgetår</f>
        <v>2026</v>
      </c>
      <c r="F134" s="1958" t="s">
        <v>834</v>
      </c>
      <c r="G134" s="369"/>
      <c r="H134" s="1832"/>
      <c r="I134" s="1923"/>
    </row>
    <row r="135" spans="1:9" ht="16">
      <c r="A135" s="1959">
        <v>2</v>
      </c>
      <c r="B135" s="1960"/>
      <c r="C135" s="1961" t="s">
        <v>1007</v>
      </c>
      <c r="D135" s="1834"/>
      <c r="E135" s="1962">
        <f>'Prio-renter'!K6</f>
        <v>0</v>
      </c>
      <c r="F135" s="1927">
        <f>'Prio-renter'!M6</f>
        <v>0</v>
      </c>
      <c r="G135" s="369"/>
      <c r="H135" s="1921"/>
      <c r="I135" s="1922">
        <f>E135*H135</f>
        <v>0</v>
      </c>
    </row>
    <row r="136" spans="1:9" ht="16">
      <c r="A136" s="611">
        <v>3</v>
      </c>
      <c r="B136" s="466"/>
      <c r="C136" s="431" t="s">
        <v>1008</v>
      </c>
      <c r="D136" s="460"/>
      <c r="E136" s="629">
        <f>'Prio-renter'!K11</f>
        <v>0</v>
      </c>
      <c r="F136" s="1927">
        <f>'Prio-renter'!M11</f>
        <v>0</v>
      </c>
      <c r="G136" s="369"/>
      <c r="H136" s="1921"/>
      <c r="I136" s="1922">
        <f>E136*H136</f>
        <v>0</v>
      </c>
    </row>
    <row r="137" spans="1:9" ht="16">
      <c r="A137" s="611">
        <v>4</v>
      </c>
      <c r="B137" s="466"/>
      <c r="C137" s="431" t="s">
        <v>1009</v>
      </c>
      <c r="D137" s="431"/>
      <c r="E137" s="629">
        <f>'Prio-renter'!K17</f>
        <v>0</v>
      </c>
      <c r="F137" s="1927">
        <f>'Prio-renter'!M17</f>
        <v>0</v>
      </c>
      <c r="G137" s="369"/>
      <c r="H137" s="1921"/>
      <c r="I137" s="1922">
        <f>E137*H137</f>
        <v>0</v>
      </c>
    </row>
    <row r="138" spans="1:9" ht="16">
      <c r="A138" s="614">
        <v>5</v>
      </c>
      <c r="B138" s="467"/>
      <c r="C138" s="434" t="s">
        <v>1010</v>
      </c>
      <c r="D138" s="434"/>
      <c r="E138" s="630">
        <f>'Prio-renter'!K23</f>
        <v>0</v>
      </c>
      <c r="F138" s="1927">
        <f>'Prio-renter'!M23</f>
        <v>0</v>
      </c>
      <c r="G138" s="369"/>
      <c r="H138" s="1921"/>
      <c r="I138" s="1922">
        <f>E138*H138</f>
        <v>0</v>
      </c>
    </row>
    <row r="139" spans="1:9" ht="16">
      <c r="A139" s="1963" t="str">
        <f>"SUM, "&amp;LOWER(C134)&amp;" "</f>
        <v xml:space="preserve">SUM, prioritetsrenter </v>
      </c>
      <c r="B139" s="1964"/>
      <c r="C139" s="1965"/>
      <c r="D139" s="1823">
        <f>SUM(D135:D138)</f>
        <v>0</v>
      </c>
      <c r="E139" s="1823">
        <f t="shared" ref="E139:F139" si="23">SUM(E135:E138)</f>
        <v>0</v>
      </c>
      <c r="F139" s="1823">
        <f t="shared" si="23"/>
        <v>0</v>
      </c>
      <c r="G139" s="369"/>
      <c r="H139" s="1951" t="s">
        <v>1005</v>
      </c>
      <c r="I139" s="1952">
        <f>SUM(I135:I138)</f>
        <v>0</v>
      </c>
    </row>
    <row r="140" spans="1:9" ht="16">
      <c r="A140" s="1827" t="s">
        <v>388</v>
      </c>
      <c r="B140" s="1966" t="str">
        <f>B134</f>
        <v>Kto. nr.</v>
      </c>
      <c r="C140" s="1854" t="s">
        <v>1011</v>
      </c>
      <c r="D140" s="1830">
        <f>budgetår-1</f>
        <v>2025</v>
      </c>
      <c r="E140" s="1831">
        <f>budgetår</f>
        <v>2026</v>
      </c>
      <c r="F140" s="1967" t="s">
        <v>834</v>
      </c>
      <c r="G140" s="369"/>
      <c r="H140" s="1832"/>
      <c r="I140" s="1923">
        <f>E140*H140</f>
        <v>0</v>
      </c>
    </row>
    <row r="141" spans="1:9" ht="16">
      <c r="A141" s="1959">
        <v>1</v>
      </c>
      <c r="B141" s="1960"/>
      <c r="C141" s="1968"/>
      <c r="D141" s="1834"/>
      <c r="E141" s="1835"/>
      <c r="F141" s="1627"/>
      <c r="G141" s="369"/>
      <c r="H141" s="1921"/>
      <c r="I141" s="1922">
        <f>E141*H141</f>
        <v>0</v>
      </c>
    </row>
    <row r="142" spans="1:9" ht="16">
      <c r="A142" s="614">
        <v>2</v>
      </c>
      <c r="B142" s="467"/>
      <c r="C142" s="461" t="s">
        <v>1012</v>
      </c>
      <c r="D142" s="461"/>
      <c r="E142" s="603"/>
      <c r="F142" s="1627"/>
      <c r="G142" s="369"/>
      <c r="H142" s="1921"/>
      <c r="I142" s="1922">
        <f>E142*H142</f>
        <v>0</v>
      </c>
    </row>
    <row r="143" spans="1:9" ht="16">
      <c r="A143" s="1963" t="str">
        <f>"SUM, "&amp;LOWER(C140)&amp;" "</f>
        <v xml:space="preserve">SUM, kassekredit </v>
      </c>
      <c r="B143" s="1969"/>
      <c r="C143" s="1970"/>
      <c r="D143" s="1823">
        <f>SUM(D141:D142)</f>
        <v>0</v>
      </c>
      <c r="E143" s="1823">
        <f t="shared" ref="E143:F143" si="24">SUM(E141:E142)</f>
        <v>0</v>
      </c>
      <c r="F143" s="1823">
        <f t="shared" si="24"/>
        <v>0</v>
      </c>
      <c r="G143" s="369"/>
      <c r="H143" s="1832"/>
      <c r="I143" s="1923"/>
    </row>
    <row r="144" spans="1:9" ht="16">
      <c r="A144" s="1827" t="s">
        <v>388</v>
      </c>
      <c r="B144" s="1966" t="str">
        <f>B140</f>
        <v>Kto. nr.</v>
      </c>
      <c r="C144" s="1829" t="s">
        <v>1013</v>
      </c>
      <c r="D144" s="1830">
        <f>budgetår-1</f>
        <v>2025</v>
      </c>
      <c r="E144" s="1831">
        <f>budgetår</f>
        <v>2026</v>
      </c>
      <c r="F144" s="1967" t="s">
        <v>834</v>
      </c>
      <c r="G144" s="369"/>
      <c r="H144" s="1832"/>
      <c r="I144" s="1923"/>
    </row>
    <row r="145" spans="1:9" ht="16">
      <c r="A145" s="1959">
        <v>1</v>
      </c>
      <c r="B145" s="1960"/>
      <c r="C145" s="1834" t="s">
        <v>1014</v>
      </c>
      <c r="D145" s="1834"/>
      <c r="E145" s="1835"/>
      <c r="F145" s="1627"/>
      <c r="G145" s="369"/>
      <c r="H145" s="1921"/>
      <c r="I145" s="1922">
        <f>E145*H145</f>
        <v>0</v>
      </c>
    </row>
    <row r="146" spans="1:9" ht="16">
      <c r="A146" s="614">
        <v>2</v>
      </c>
      <c r="B146" s="467"/>
      <c r="C146" s="461" t="s">
        <v>1015</v>
      </c>
      <c r="D146" s="461"/>
      <c r="E146" s="603"/>
      <c r="F146" s="1627"/>
      <c r="G146" s="369"/>
      <c r="H146" s="1921"/>
      <c r="I146" s="1922">
        <f>E146*H146</f>
        <v>0</v>
      </c>
    </row>
    <row r="147" spans="1:9" ht="16">
      <c r="A147" s="1963" t="str">
        <f>"SUM, "&amp;LOWER(C144)&amp;" "</f>
        <v xml:space="preserve">SUM, morarenter m.v. </v>
      </c>
      <c r="B147" s="1969"/>
      <c r="C147" s="1970"/>
      <c r="D147" s="1823">
        <f>SUM(D145:D146)</f>
        <v>0</v>
      </c>
      <c r="E147" s="1823">
        <f t="shared" ref="E147:F147" si="25">SUM(E145:E146)</f>
        <v>0</v>
      </c>
      <c r="F147" s="1823">
        <f t="shared" si="25"/>
        <v>0</v>
      </c>
      <c r="G147" s="369"/>
      <c r="H147" s="1832"/>
      <c r="I147" s="1923"/>
    </row>
    <row r="148" spans="1:9" ht="16">
      <c r="A148" s="1827" t="s">
        <v>388</v>
      </c>
      <c r="B148" s="1966" t="str">
        <f>B144</f>
        <v>Kto. nr.</v>
      </c>
      <c r="C148" s="1829" t="s">
        <v>1016</v>
      </c>
      <c r="D148" s="1830">
        <f>budgetår-1</f>
        <v>2025</v>
      </c>
      <c r="E148" s="1831">
        <f>budgetår</f>
        <v>2026</v>
      </c>
      <c r="F148" s="1967" t="s">
        <v>834</v>
      </c>
      <c r="G148" s="369"/>
      <c r="H148" s="1832"/>
      <c r="I148" s="1923"/>
    </row>
    <row r="149" spans="1:9" ht="16">
      <c r="A149" s="1959">
        <v>1</v>
      </c>
      <c r="B149" s="1960"/>
      <c r="C149" s="1834" t="s">
        <v>277</v>
      </c>
      <c r="D149" s="1834"/>
      <c r="E149" s="1835"/>
      <c r="F149" s="1627"/>
      <c r="G149" s="369"/>
      <c r="H149" s="1971"/>
      <c r="I149" s="1922">
        <f>E149*H149</f>
        <v>0</v>
      </c>
    </row>
    <row r="150" spans="1:9" ht="17" thickBot="1">
      <c r="A150" s="614">
        <v>2</v>
      </c>
      <c r="B150" s="467"/>
      <c r="C150" s="461" t="s">
        <v>1017</v>
      </c>
      <c r="D150" s="461"/>
      <c r="E150" s="603"/>
      <c r="F150" s="1847"/>
      <c r="G150" s="369"/>
      <c r="H150" s="1971"/>
      <c r="I150" s="1922">
        <f>E150*H150</f>
        <v>0</v>
      </c>
    </row>
    <row r="151" spans="1:9" ht="17" thickBot="1">
      <c r="A151" s="1972" t="str">
        <f>"SUM, "&amp;LOWER(C148)&amp;" "</f>
        <v xml:space="preserve">SUM, kurstab </v>
      </c>
      <c r="B151" s="1969"/>
      <c r="C151" s="1970"/>
      <c r="D151" s="1823">
        <f>SUM(D149:D150)</f>
        <v>0</v>
      </c>
      <c r="E151" s="1823">
        <f t="shared" ref="E151:F151" si="26">SUM(E149:E150)</f>
        <v>0</v>
      </c>
      <c r="F151" s="1823">
        <f t="shared" si="26"/>
        <v>0</v>
      </c>
      <c r="G151" s="369"/>
      <c r="H151" s="3446" t="s">
        <v>1018</v>
      </c>
      <c r="I151" s="3448">
        <f>SUM(I141:I150)</f>
        <v>0</v>
      </c>
    </row>
    <row r="152" spans="1:9" ht="17" thickBot="1">
      <c r="A152" s="1973"/>
      <c r="B152" s="1974"/>
      <c r="C152" s="1975"/>
      <c r="D152" s="1975"/>
      <c r="E152" s="1976"/>
      <c r="F152" s="1977">
        <f>F139+F143+F147+F151</f>
        <v>0</v>
      </c>
      <c r="G152" s="369"/>
      <c r="H152" s="3447"/>
      <c r="I152" s="3449"/>
    </row>
    <row r="153" spans="1:9" ht="16">
      <c r="A153" s="388"/>
      <c r="B153" s="444"/>
      <c r="C153" s="369"/>
      <c r="D153" s="369"/>
      <c r="E153" s="369"/>
      <c r="F153" s="369"/>
      <c r="G153" s="369"/>
      <c r="H153" s="369"/>
      <c r="I153" s="369"/>
    </row>
    <row r="154" spans="1:9" ht="17" thickBot="1">
      <c r="A154" s="455"/>
      <c r="B154" s="456"/>
      <c r="C154" s="369"/>
      <c r="D154" s="369"/>
      <c r="E154" s="369"/>
      <c r="F154" s="369"/>
      <c r="G154" s="369"/>
      <c r="H154" s="369"/>
      <c r="I154" s="369"/>
    </row>
    <row r="155" spans="1:9" ht="16">
      <c r="A155" s="1941" t="s">
        <v>388</v>
      </c>
      <c r="B155" s="1978" t="str">
        <f>B148</f>
        <v>Kto. nr.</v>
      </c>
      <c r="C155" s="1979" t="s">
        <v>1019</v>
      </c>
      <c r="D155" s="1844">
        <f>budgetår-1</f>
        <v>2025</v>
      </c>
      <c r="E155" s="1845">
        <f>budgetår</f>
        <v>2026</v>
      </c>
      <c r="F155" s="1980" t="s">
        <v>834</v>
      </c>
      <c r="G155" s="369"/>
      <c r="H155" s="369"/>
      <c r="I155" s="369"/>
    </row>
    <row r="156" spans="1:9" ht="16">
      <c r="A156" s="1944">
        <v>1</v>
      </c>
      <c r="B156" s="1945"/>
      <c r="C156" s="1946"/>
      <c r="D156" s="1834"/>
      <c r="E156" s="1835"/>
      <c r="F156" s="1627"/>
      <c r="G156" s="369"/>
      <c r="H156" s="369"/>
      <c r="I156" s="369"/>
    </row>
    <row r="157" spans="1:9" ht="17" thickBot="1">
      <c r="A157" s="636">
        <v>2</v>
      </c>
      <c r="B157" s="477"/>
      <c r="C157" s="459"/>
      <c r="D157" s="397"/>
      <c r="E157" s="396"/>
      <c r="F157" s="1627"/>
      <c r="G157" s="369"/>
      <c r="H157" s="369"/>
      <c r="I157" s="369"/>
    </row>
    <row r="158" spans="1:9" ht="17" thickBot="1">
      <c r="A158" s="1981" t="str">
        <f>"SUM, "&amp;LOWER(C155)&amp;" . "</f>
        <v xml:space="preserve">SUM, særlige indtægter . </v>
      </c>
      <c r="B158" s="1982"/>
      <c r="C158" s="1983"/>
      <c r="D158" s="1984">
        <f>SUM(D156:D157)</f>
        <v>0</v>
      </c>
      <c r="E158" s="1984">
        <f t="shared" ref="E158:F158" si="27">SUM(E156:E157)</f>
        <v>0</v>
      </c>
      <c r="F158" s="1984">
        <f t="shared" si="27"/>
        <v>0</v>
      </c>
      <c r="G158" s="369"/>
      <c r="H158" s="369"/>
      <c r="I158" s="369"/>
    </row>
    <row r="159" spans="1:9" ht="15" customHeight="1" thickBot="1">
      <c r="A159" s="369"/>
      <c r="B159" s="444"/>
      <c r="C159" s="369"/>
      <c r="D159" s="369"/>
      <c r="E159" s="369"/>
      <c r="F159" s="650"/>
      <c r="G159" s="369"/>
      <c r="H159" s="369"/>
      <c r="I159" s="369"/>
    </row>
    <row r="160" spans="1:9" ht="16">
      <c r="A160" s="1941" t="s">
        <v>388</v>
      </c>
      <c r="B160" s="1978" t="str">
        <f>B155</f>
        <v>Kto. nr.</v>
      </c>
      <c r="C160" s="1979" t="s">
        <v>1020</v>
      </c>
      <c r="D160" s="1844">
        <f>budgetår-1</f>
        <v>2025</v>
      </c>
      <c r="E160" s="1985">
        <f>budgetår</f>
        <v>2026</v>
      </c>
      <c r="F160" s="1920" t="s">
        <v>834</v>
      </c>
      <c r="G160" s="369"/>
      <c r="H160" s="369"/>
      <c r="I160" s="369"/>
    </row>
    <row r="161" spans="1:9" ht="16">
      <c r="A161" s="1944">
        <v>1</v>
      </c>
      <c r="B161" s="1945"/>
      <c r="C161" s="1946"/>
      <c r="D161" s="1834"/>
      <c r="E161" s="1835"/>
      <c r="F161" s="1627"/>
      <c r="G161" s="369"/>
      <c r="H161" s="369"/>
      <c r="I161" s="369"/>
    </row>
    <row r="162" spans="1:9" ht="17" thickBot="1">
      <c r="A162" s="628">
        <v>4</v>
      </c>
      <c r="B162" s="478"/>
      <c r="C162" s="453"/>
      <c r="D162" s="461"/>
      <c r="E162" s="603"/>
      <c r="F162" s="1847"/>
      <c r="G162" s="369"/>
      <c r="H162" s="369"/>
      <c r="I162" s="369"/>
    </row>
    <row r="163" spans="1:9" ht="17" thickBot="1">
      <c r="A163" s="1986" t="str">
        <f>"SUM, "&amp;LOWER(C160)&amp;". "</f>
        <v xml:space="preserve">SUM, særlige udgifter. </v>
      </c>
      <c r="B163" s="896"/>
      <c r="C163" s="927"/>
      <c r="D163" s="928">
        <f>SUM(D161:D162)</f>
        <v>0</v>
      </c>
      <c r="E163" s="928">
        <f t="shared" ref="E163:F163" si="28">SUM(E161:E162)</f>
        <v>0</v>
      </c>
      <c r="F163" s="928">
        <f t="shared" si="28"/>
        <v>0</v>
      </c>
      <c r="G163" s="369"/>
      <c r="H163" s="369"/>
      <c r="I163" s="369"/>
    </row>
    <row r="164" spans="1:9" ht="16">
      <c r="A164" s="369"/>
      <c r="B164" s="444"/>
      <c r="C164" s="369"/>
      <c r="D164" s="369"/>
      <c r="E164" s="369"/>
      <c r="F164" s="369"/>
      <c r="G164" s="369"/>
      <c r="H164" s="369"/>
      <c r="I164" s="369"/>
    </row>
    <row r="165" spans="1:9" ht="16">
      <c r="A165" s="388"/>
      <c r="B165" s="444"/>
      <c r="C165" s="369"/>
      <c r="D165" s="369"/>
      <c r="E165" s="369"/>
      <c r="F165" s="369"/>
      <c r="G165" s="369"/>
      <c r="H165" s="369"/>
      <c r="I165" s="369"/>
    </row>
    <row r="166" spans="1:9" ht="16">
      <c r="A166" s="388"/>
      <c r="B166" s="444"/>
      <c r="C166" s="369"/>
      <c r="D166" s="369"/>
      <c r="E166" s="369"/>
      <c r="F166" s="369"/>
      <c r="G166" s="369"/>
      <c r="H166" s="369"/>
      <c r="I166" s="369"/>
    </row>
    <row r="167" spans="1:9" ht="16">
      <c r="A167" s="388"/>
      <c r="B167" s="444"/>
      <c r="C167" s="369"/>
      <c r="D167" s="369"/>
      <c r="E167" s="369"/>
      <c r="F167" s="369"/>
      <c r="G167" s="369"/>
      <c r="H167" s="369"/>
      <c r="I167" s="369"/>
    </row>
    <row r="168" spans="1:9" ht="16">
      <c r="A168" s="388"/>
      <c r="B168" s="444"/>
      <c r="C168" s="369"/>
      <c r="D168" s="369"/>
      <c r="E168" s="369"/>
      <c r="F168" s="369"/>
      <c r="G168" s="369"/>
      <c r="H168" s="369"/>
      <c r="I168" s="369"/>
    </row>
    <row r="169" spans="1:9" ht="16">
      <c r="A169" s="388"/>
      <c r="B169" s="444"/>
      <c r="C169" s="369"/>
      <c r="D169" s="369"/>
      <c r="E169" s="369"/>
      <c r="F169" s="369"/>
      <c r="G169" s="369"/>
      <c r="H169" s="369"/>
      <c r="I169" s="369"/>
    </row>
    <row r="170" spans="1:9" ht="16">
      <c r="A170" s="388"/>
      <c r="B170" s="444"/>
      <c r="C170" s="369"/>
      <c r="D170" s="369"/>
      <c r="E170" s="369"/>
      <c r="F170" s="369"/>
      <c r="G170" s="369"/>
      <c r="H170" s="369"/>
      <c r="I170" s="369"/>
    </row>
    <row r="171" spans="1:9" ht="16">
      <c r="A171" s="388"/>
      <c r="B171" s="444"/>
      <c r="C171" s="369"/>
      <c r="D171" s="369"/>
      <c r="E171" s="369"/>
      <c r="F171" s="369"/>
      <c r="G171" s="369"/>
      <c r="H171" s="369"/>
      <c r="I171" s="369"/>
    </row>
    <row r="172" spans="1:9" ht="16">
      <c r="A172" s="388"/>
      <c r="B172" s="444"/>
      <c r="C172" s="369"/>
      <c r="D172" s="369"/>
      <c r="E172" s="369"/>
      <c r="F172" s="369"/>
      <c r="G172" s="369"/>
      <c r="H172" s="369"/>
      <c r="I172" s="369"/>
    </row>
    <row r="173" spans="1:9" ht="16">
      <c r="A173" s="388"/>
      <c r="B173" s="444"/>
      <c r="C173" s="369"/>
      <c r="D173" s="369"/>
      <c r="E173" s="369"/>
      <c r="F173" s="369"/>
      <c r="G173" s="369"/>
      <c r="H173" s="369"/>
      <c r="I173" s="369"/>
    </row>
    <row r="174" spans="1:9" ht="16">
      <c r="A174" s="388"/>
      <c r="B174" s="444"/>
      <c r="C174" s="369"/>
      <c r="D174" s="369"/>
      <c r="E174" s="369"/>
      <c r="F174" s="369"/>
      <c r="G174" s="369"/>
      <c r="H174" s="369"/>
      <c r="I174" s="369"/>
    </row>
    <row r="175" spans="1:9" ht="16">
      <c r="A175" s="388"/>
      <c r="B175" s="444"/>
      <c r="C175" s="369"/>
      <c r="D175" s="369"/>
      <c r="E175" s="369"/>
      <c r="F175" s="369"/>
      <c r="G175" s="369"/>
      <c r="H175" s="369"/>
      <c r="I175" s="369"/>
    </row>
    <row r="176" spans="1:9" ht="16">
      <c r="A176" s="388"/>
      <c r="B176" s="444"/>
      <c r="C176" s="369"/>
      <c r="D176" s="369"/>
      <c r="E176" s="369"/>
      <c r="F176" s="369"/>
      <c r="G176" s="369"/>
      <c r="H176" s="369"/>
      <c r="I176" s="369"/>
    </row>
    <row r="177" spans="1:9" ht="16">
      <c r="A177" s="388"/>
      <c r="B177" s="444"/>
      <c r="C177" s="369"/>
      <c r="D177" s="369"/>
      <c r="E177" s="369"/>
      <c r="F177" s="369"/>
      <c r="G177" s="369"/>
      <c r="H177" s="369"/>
      <c r="I177" s="369"/>
    </row>
    <row r="178" spans="1:9" ht="16">
      <c r="A178" s="388"/>
      <c r="B178" s="444"/>
      <c r="C178" s="369"/>
      <c r="D178" s="369"/>
      <c r="E178" s="369"/>
      <c r="F178" s="369"/>
      <c r="G178" s="369"/>
      <c r="H178" s="369"/>
      <c r="I178" s="369"/>
    </row>
    <row r="179" spans="1:9" ht="16">
      <c r="A179" s="388"/>
      <c r="B179" s="444"/>
      <c r="C179" s="369"/>
      <c r="D179" s="369"/>
      <c r="E179" s="369"/>
      <c r="F179" s="369"/>
      <c r="G179" s="369"/>
      <c r="H179" s="369"/>
      <c r="I179" s="369"/>
    </row>
    <row r="180" spans="1:9" ht="16">
      <c r="A180" s="388"/>
      <c r="B180" s="444"/>
      <c r="C180" s="369"/>
      <c r="D180" s="369"/>
      <c r="E180" s="369"/>
      <c r="F180" s="369"/>
      <c r="G180" s="369"/>
      <c r="H180" s="369"/>
      <c r="I180" s="369"/>
    </row>
    <row r="181" spans="1:9" ht="16">
      <c r="A181" s="388"/>
      <c r="B181" s="444"/>
      <c r="C181" s="369"/>
      <c r="D181" s="369"/>
      <c r="E181" s="369"/>
      <c r="F181" s="369"/>
      <c r="G181" s="369"/>
      <c r="H181" s="369"/>
      <c r="I181" s="369"/>
    </row>
    <row r="182" spans="1:9" ht="16">
      <c r="A182" s="388"/>
      <c r="B182" s="444"/>
      <c r="C182" s="369"/>
      <c r="D182" s="369"/>
      <c r="E182" s="369"/>
      <c r="F182" s="369"/>
      <c r="G182" s="369"/>
      <c r="H182" s="369"/>
      <c r="I182" s="369"/>
    </row>
    <row r="183" spans="1:9" ht="16">
      <c r="A183" s="388"/>
      <c r="B183" s="444"/>
      <c r="C183" s="369"/>
      <c r="D183" s="369"/>
      <c r="E183" s="369"/>
      <c r="F183" s="369"/>
      <c r="G183" s="369"/>
      <c r="H183" s="369"/>
      <c r="I183" s="369"/>
    </row>
    <row r="184" spans="1:9" ht="16">
      <c r="A184" s="388"/>
      <c r="B184" s="444"/>
      <c r="C184" s="369"/>
      <c r="D184" s="369"/>
      <c r="E184" s="369"/>
      <c r="F184" s="369"/>
      <c r="G184" s="369"/>
      <c r="H184" s="369"/>
      <c r="I184" s="369"/>
    </row>
    <row r="185" spans="1:9" ht="16">
      <c r="A185" s="388"/>
      <c r="B185" s="444"/>
      <c r="C185" s="369"/>
      <c r="D185" s="369"/>
      <c r="E185" s="369"/>
      <c r="F185" s="369"/>
      <c r="G185" s="369"/>
      <c r="H185" s="369"/>
      <c r="I185" s="369"/>
    </row>
    <row r="186" spans="1:9" ht="16">
      <c r="A186" s="388"/>
      <c r="B186" s="444"/>
      <c r="C186" s="369"/>
      <c r="D186" s="369"/>
      <c r="E186" s="369"/>
      <c r="F186" s="369"/>
      <c r="G186" s="369"/>
      <c r="H186" s="369"/>
      <c r="I186" s="369"/>
    </row>
    <row r="187" spans="1:9" ht="16">
      <c r="A187" s="388"/>
      <c r="B187" s="444"/>
      <c r="C187" s="369"/>
      <c r="D187" s="369"/>
      <c r="E187" s="369"/>
      <c r="F187" s="369"/>
      <c r="G187" s="369"/>
      <c r="H187" s="369"/>
      <c r="I187" s="369"/>
    </row>
    <row r="188" spans="1:9" ht="16">
      <c r="A188" s="388"/>
      <c r="B188" s="444"/>
      <c r="C188" s="369"/>
      <c r="D188" s="369"/>
      <c r="E188" s="369"/>
      <c r="F188" s="369"/>
      <c r="G188" s="369"/>
      <c r="H188" s="369"/>
      <c r="I188" s="369"/>
    </row>
    <row r="189" spans="1:9" ht="16">
      <c r="A189" s="388"/>
      <c r="B189" s="444"/>
      <c r="C189" s="369"/>
      <c r="D189" s="369"/>
      <c r="E189" s="369"/>
      <c r="F189" s="369"/>
      <c r="G189" s="369"/>
      <c r="H189" s="369"/>
      <c r="I189" s="369"/>
    </row>
    <row r="190" spans="1:9" ht="16">
      <c r="A190" s="388"/>
      <c r="B190" s="444"/>
      <c r="C190" s="369"/>
      <c r="D190" s="369"/>
      <c r="E190" s="369"/>
      <c r="F190" s="369"/>
      <c r="G190" s="369"/>
      <c r="H190" s="369"/>
      <c r="I190" s="369"/>
    </row>
    <row r="191" spans="1:9" ht="16">
      <c r="A191" s="388"/>
      <c r="B191" s="444"/>
      <c r="C191" s="369"/>
      <c r="D191" s="369"/>
      <c r="E191" s="369"/>
      <c r="F191" s="369"/>
      <c r="G191" s="369"/>
      <c r="H191" s="369"/>
      <c r="I191" s="369"/>
    </row>
    <row r="192" spans="1:9" ht="16">
      <c r="A192" s="388"/>
      <c r="B192" s="444"/>
      <c r="C192" s="369"/>
      <c r="D192" s="369"/>
      <c r="E192" s="369"/>
      <c r="F192" s="369"/>
      <c r="G192" s="369"/>
      <c r="H192" s="369"/>
      <c r="I192" s="369"/>
    </row>
    <row r="193" spans="1:9" ht="16">
      <c r="A193" s="388"/>
      <c r="B193" s="444"/>
      <c r="C193" s="369"/>
      <c r="D193" s="369"/>
      <c r="E193" s="369"/>
      <c r="F193" s="369"/>
      <c r="G193" s="369"/>
      <c r="H193" s="369"/>
      <c r="I193" s="369"/>
    </row>
    <row r="194" spans="1:9" ht="16">
      <c r="A194" s="388"/>
      <c r="B194" s="444"/>
      <c r="C194" s="369"/>
      <c r="D194" s="369"/>
      <c r="E194" s="369"/>
      <c r="F194" s="369"/>
      <c r="G194" s="369"/>
      <c r="H194" s="369"/>
      <c r="I194" s="369"/>
    </row>
    <row r="195" spans="1:9" ht="16">
      <c r="A195" s="388"/>
      <c r="B195" s="444"/>
      <c r="C195" s="369"/>
      <c r="D195" s="369"/>
      <c r="E195" s="369"/>
      <c r="F195" s="369"/>
      <c r="G195" s="369"/>
      <c r="H195" s="369"/>
      <c r="I195" s="369"/>
    </row>
    <row r="196" spans="1:9" ht="16">
      <c r="A196" s="388"/>
      <c r="B196" s="444"/>
      <c r="C196" s="369"/>
      <c r="D196" s="369"/>
      <c r="E196" s="369"/>
      <c r="F196" s="369"/>
      <c r="G196" s="369"/>
      <c r="H196" s="369"/>
      <c r="I196" s="369"/>
    </row>
    <row r="197" spans="1:9" ht="16">
      <c r="A197" s="388"/>
      <c r="B197" s="444"/>
      <c r="C197" s="369"/>
      <c r="D197" s="369"/>
      <c r="E197" s="369"/>
      <c r="F197" s="369"/>
      <c r="G197" s="369"/>
      <c r="H197" s="369"/>
      <c r="I197" s="369"/>
    </row>
    <row r="198" spans="1:9" ht="16">
      <c r="A198" s="388"/>
      <c r="B198" s="444"/>
      <c r="C198" s="369"/>
      <c r="D198" s="369"/>
      <c r="E198" s="369"/>
      <c r="F198" s="369"/>
      <c r="G198" s="369"/>
      <c r="H198" s="369"/>
      <c r="I198" s="369"/>
    </row>
    <row r="199" spans="1:9" ht="16">
      <c r="A199" s="388"/>
      <c r="B199" s="444"/>
      <c r="C199" s="369"/>
      <c r="D199" s="369"/>
      <c r="E199" s="369"/>
      <c r="F199" s="369"/>
      <c r="G199" s="369"/>
      <c r="H199" s="369"/>
      <c r="I199" s="369"/>
    </row>
    <row r="200" spans="1:9" ht="16">
      <c r="A200" s="388"/>
      <c r="B200" s="444"/>
      <c r="C200" s="369"/>
      <c r="D200" s="369"/>
      <c r="E200" s="369"/>
      <c r="F200" s="369"/>
      <c r="G200" s="369"/>
      <c r="H200" s="369"/>
      <c r="I200" s="369"/>
    </row>
    <row r="201" spans="1:9" ht="16">
      <c r="A201" s="388"/>
      <c r="B201" s="444"/>
      <c r="C201" s="369"/>
      <c r="D201" s="369"/>
      <c r="E201" s="369"/>
      <c r="F201" s="369"/>
      <c r="G201" s="369"/>
      <c r="H201" s="369"/>
      <c r="I201" s="369"/>
    </row>
    <row r="202" spans="1:9" ht="16">
      <c r="A202" s="388"/>
      <c r="B202" s="444"/>
      <c r="C202" s="369"/>
      <c r="D202" s="369"/>
      <c r="E202" s="369"/>
      <c r="F202" s="369"/>
      <c r="G202" s="369"/>
      <c r="H202" s="369"/>
      <c r="I202" s="369"/>
    </row>
    <row r="203" spans="1:9" ht="16">
      <c r="A203" s="388"/>
      <c r="B203" s="444"/>
      <c r="C203" s="369"/>
      <c r="D203" s="369"/>
      <c r="E203" s="369"/>
      <c r="F203" s="369"/>
      <c r="G203" s="369"/>
      <c r="H203" s="369"/>
      <c r="I203" s="369"/>
    </row>
    <row r="204" spans="1:9" ht="16">
      <c r="A204" s="388"/>
      <c r="B204" s="444"/>
      <c r="C204" s="369"/>
      <c r="D204" s="369"/>
      <c r="E204" s="369"/>
      <c r="F204" s="369"/>
      <c r="G204" s="369"/>
      <c r="H204" s="369"/>
      <c r="I204" s="369"/>
    </row>
    <row r="205" spans="1:9" ht="16">
      <c r="A205" s="388"/>
      <c r="B205" s="444"/>
      <c r="C205" s="369"/>
      <c r="D205" s="369"/>
      <c r="E205" s="369"/>
      <c r="F205" s="369"/>
      <c r="G205" s="369"/>
      <c r="H205" s="369"/>
      <c r="I205" s="369"/>
    </row>
    <row r="206" spans="1:9" ht="16">
      <c r="A206" s="388"/>
      <c r="B206" s="444"/>
      <c r="C206" s="369"/>
      <c r="D206" s="369"/>
      <c r="E206" s="369"/>
      <c r="F206" s="369"/>
      <c r="G206" s="369"/>
      <c r="H206" s="369"/>
      <c r="I206" s="369"/>
    </row>
    <row r="207" spans="1:9" ht="16">
      <c r="A207" s="388"/>
      <c r="B207" s="444"/>
      <c r="C207" s="369"/>
      <c r="D207" s="369"/>
      <c r="E207" s="369"/>
      <c r="F207" s="369"/>
      <c r="G207" s="369"/>
      <c r="H207" s="369"/>
      <c r="I207" s="369"/>
    </row>
    <row r="208" spans="1:9" ht="16">
      <c r="A208" s="388"/>
      <c r="B208" s="444"/>
      <c r="C208" s="369"/>
      <c r="D208" s="369"/>
      <c r="E208" s="369"/>
      <c r="F208" s="369"/>
      <c r="G208" s="369"/>
      <c r="H208" s="369"/>
      <c r="I208" s="369"/>
    </row>
    <row r="209" spans="1:9" ht="16">
      <c r="A209" s="388"/>
      <c r="B209" s="444"/>
      <c r="C209" s="369"/>
      <c r="D209" s="369"/>
      <c r="E209" s="369"/>
      <c r="F209" s="369"/>
      <c r="G209" s="369"/>
      <c r="H209" s="369"/>
      <c r="I209" s="369"/>
    </row>
    <row r="210" spans="1:9" ht="16">
      <c r="A210" s="388"/>
      <c r="B210" s="444"/>
      <c r="C210" s="369"/>
      <c r="D210" s="369"/>
      <c r="E210" s="369"/>
      <c r="F210" s="369"/>
      <c r="G210" s="369"/>
      <c r="H210" s="369"/>
      <c r="I210" s="369"/>
    </row>
    <row r="211" spans="1:9" ht="16">
      <c r="A211" s="388"/>
      <c r="B211" s="444"/>
      <c r="C211" s="369"/>
      <c r="D211" s="369"/>
      <c r="E211" s="369"/>
      <c r="F211" s="369"/>
      <c r="G211" s="369"/>
      <c r="H211" s="369"/>
      <c r="I211" s="369"/>
    </row>
    <row r="212" spans="1:9" ht="16">
      <c r="A212" s="388"/>
      <c r="B212" s="444"/>
      <c r="C212" s="369"/>
      <c r="D212" s="369"/>
      <c r="E212" s="369"/>
      <c r="F212" s="369"/>
      <c r="G212" s="369"/>
      <c r="H212" s="369"/>
      <c r="I212" s="369"/>
    </row>
    <row r="213" spans="1:9" ht="16">
      <c r="A213" s="388"/>
      <c r="B213" s="444"/>
      <c r="C213" s="369"/>
      <c r="D213" s="369"/>
      <c r="E213" s="369"/>
      <c r="F213" s="369"/>
      <c r="G213" s="369"/>
      <c r="H213" s="369"/>
      <c r="I213" s="369"/>
    </row>
    <row r="214" spans="1:9" ht="16">
      <c r="A214" s="388"/>
      <c r="B214" s="444"/>
      <c r="C214" s="369"/>
      <c r="D214" s="369"/>
      <c r="E214" s="369"/>
      <c r="F214" s="369"/>
      <c r="G214" s="369"/>
      <c r="H214" s="369"/>
      <c r="I214" s="369"/>
    </row>
    <row r="215" spans="1:9" ht="16">
      <c r="A215" s="388"/>
      <c r="B215" s="444"/>
      <c r="C215" s="369"/>
      <c r="D215" s="369"/>
      <c r="E215" s="369"/>
      <c r="F215" s="369"/>
      <c r="G215" s="369"/>
      <c r="H215" s="369"/>
      <c r="I215" s="369"/>
    </row>
    <row r="216" spans="1:9" ht="16">
      <c r="A216" s="388"/>
      <c r="B216" s="444"/>
      <c r="C216" s="369"/>
      <c r="D216" s="369"/>
      <c r="E216" s="369"/>
      <c r="F216" s="369"/>
      <c r="G216" s="369"/>
      <c r="H216" s="369"/>
      <c r="I216" s="369"/>
    </row>
    <row r="217" spans="1:9" ht="16">
      <c r="A217" s="388"/>
      <c r="B217" s="444"/>
      <c r="C217" s="369"/>
      <c r="D217" s="369"/>
      <c r="E217" s="369"/>
      <c r="F217" s="369"/>
      <c r="G217" s="369"/>
      <c r="H217" s="369"/>
      <c r="I217" s="369"/>
    </row>
    <row r="218" spans="1:9" ht="16">
      <c r="A218" s="388"/>
      <c r="B218" s="444"/>
      <c r="C218" s="369"/>
      <c r="D218" s="369"/>
      <c r="E218" s="369"/>
      <c r="F218" s="369"/>
      <c r="G218" s="369"/>
      <c r="H218" s="369"/>
      <c r="I218" s="369"/>
    </row>
    <row r="219" spans="1:9" ht="16">
      <c r="A219" s="388"/>
      <c r="B219" s="444"/>
      <c r="C219" s="369"/>
      <c r="D219" s="369"/>
      <c r="E219" s="369"/>
      <c r="F219" s="369"/>
      <c r="G219" s="369"/>
      <c r="H219" s="369"/>
      <c r="I219" s="369"/>
    </row>
    <row r="220" spans="1:9" ht="16">
      <c r="A220" s="388"/>
      <c r="B220" s="444"/>
      <c r="C220" s="369"/>
      <c r="D220" s="369"/>
      <c r="E220" s="369"/>
      <c r="F220" s="369"/>
      <c r="G220" s="369"/>
      <c r="H220" s="369"/>
      <c r="I220" s="369"/>
    </row>
    <row r="221" spans="1:9" ht="16">
      <c r="A221" s="388"/>
      <c r="B221" s="444"/>
      <c r="C221" s="369"/>
      <c r="D221" s="369"/>
      <c r="E221" s="369"/>
      <c r="F221" s="369"/>
      <c r="G221" s="369"/>
      <c r="H221" s="369"/>
      <c r="I221" s="369"/>
    </row>
    <row r="222" spans="1:9" ht="16">
      <c r="A222" s="388"/>
      <c r="B222" s="444"/>
      <c r="C222" s="369"/>
      <c r="D222" s="369"/>
      <c r="E222" s="369"/>
      <c r="F222" s="369"/>
      <c r="G222" s="369"/>
      <c r="H222" s="369"/>
      <c r="I222" s="369"/>
    </row>
    <row r="223" spans="1:9" ht="16">
      <c r="A223" s="388"/>
      <c r="B223" s="444"/>
      <c r="C223" s="369"/>
      <c r="D223" s="369"/>
      <c r="E223" s="369"/>
      <c r="F223" s="369"/>
      <c r="G223" s="369"/>
      <c r="H223" s="369"/>
      <c r="I223" s="369"/>
    </row>
    <row r="224" spans="1:9" ht="16">
      <c r="A224" s="388"/>
      <c r="B224" s="444"/>
      <c r="C224" s="369"/>
      <c r="D224" s="369"/>
      <c r="E224" s="369"/>
      <c r="F224" s="369"/>
      <c r="G224" s="369"/>
      <c r="H224" s="369"/>
      <c r="I224" s="369"/>
    </row>
    <row r="225" spans="1:9" ht="16">
      <c r="A225" s="388"/>
      <c r="B225" s="444"/>
      <c r="C225" s="369"/>
      <c r="D225" s="369"/>
      <c r="E225" s="369"/>
      <c r="F225" s="369"/>
      <c r="G225" s="369"/>
      <c r="H225" s="369"/>
      <c r="I225" s="369"/>
    </row>
    <row r="226" spans="1:9" ht="16">
      <c r="A226" s="388"/>
      <c r="B226" s="444"/>
      <c r="C226" s="369"/>
      <c r="D226" s="369"/>
      <c r="E226" s="369"/>
      <c r="F226" s="369"/>
      <c r="G226" s="369"/>
      <c r="H226" s="369"/>
      <c r="I226" s="369"/>
    </row>
    <row r="227" spans="1:9" ht="16">
      <c r="A227" s="388"/>
      <c r="B227" s="444"/>
      <c r="C227" s="369"/>
      <c r="D227" s="369"/>
      <c r="E227" s="369"/>
      <c r="F227" s="369"/>
      <c r="G227" s="369"/>
      <c r="H227" s="369"/>
      <c r="I227" s="369"/>
    </row>
    <row r="228" spans="1:9" ht="16">
      <c r="A228" s="388"/>
      <c r="B228" s="444"/>
      <c r="C228" s="369"/>
      <c r="D228" s="369"/>
      <c r="E228" s="369"/>
      <c r="F228" s="369"/>
      <c r="G228" s="369"/>
      <c r="H228" s="369"/>
      <c r="I228" s="369"/>
    </row>
    <row r="229" spans="1:9" ht="16">
      <c r="A229" s="388"/>
      <c r="B229" s="444"/>
      <c r="C229" s="369"/>
      <c r="D229" s="369"/>
      <c r="E229" s="369"/>
      <c r="F229" s="369"/>
      <c r="G229" s="369"/>
      <c r="H229" s="369"/>
      <c r="I229" s="369"/>
    </row>
    <row r="230" spans="1:9" ht="16">
      <c r="A230" s="388"/>
      <c r="B230" s="444"/>
      <c r="C230" s="369"/>
      <c r="D230" s="369"/>
      <c r="E230" s="369"/>
      <c r="F230" s="369"/>
      <c r="G230" s="369"/>
      <c r="H230" s="369"/>
      <c r="I230" s="369"/>
    </row>
    <row r="231" spans="1:9" ht="16">
      <c r="A231" s="388"/>
      <c r="B231" s="444"/>
      <c r="C231" s="369"/>
      <c r="D231" s="369"/>
      <c r="E231" s="369"/>
      <c r="F231" s="369"/>
      <c r="G231" s="369"/>
      <c r="H231" s="369"/>
      <c r="I231" s="369"/>
    </row>
    <row r="232" spans="1:9" ht="16">
      <c r="A232" s="388"/>
      <c r="B232" s="444"/>
      <c r="C232" s="369"/>
      <c r="D232" s="369"/>
      <c r="E232" s="369"/>
      <c r="F232" s="369"/>
      <c r="G232" s="369"/>
      <c r="H232" s="369"/>
      <c r="I232" s="369"/>
    </row>
    <row r="233" spans="1:9" ht="16">
      <c r="A233" s="388"/>
      <c r="B233" s="444"/>
      <c r="C233" s="369"/>
      <c r="D233" s="369"/>
      <c r="E233" s="369"/>
      <c r="F233" s="369"/>
      <c r="G233" s="369"/>
      <c r="H233" s="369"/>
      <c r="I233" s="369"/>
    </row>
    <row r="234" spans="1:9" ht="16">
      <c r="A234" s="388"/>
      <c r="B234" s="444"/>
      <c r="C234" s="369"/>
      <c r="D234" s="369"/>
      <c r="E234" s="369"/>
      <c r="F234" s="369"/>
      <c r="G234" s="369"/>
      <c r="H234" s="369"/>
      <c r="I234" s="369"/>
    </row>
    <row r="235" spans="1:9" ht="16">
      <c r="A235" s="388"/>
      <c r="B235" s="444"/>
      <c r="C235" s="369"/>
      <c r="D235" s="369"/>
      <c r="E235" s="369"/>
      <c r="F235" s="369"/>
      <c r="G235" s="369"/>
      <c r="H235" s="369"/>
      <c r="I235" s="369"/>
    </row>
    <row r="236" spans="1:9" ht="16">
      <c r="A236" s="388"/>
      <c r="B236" s="444"/>
      <c r="C236" s="369"/>
      <c r="D236" s="369"/>
      <c r="E236" s="369"/>
      <c r="F236" s="369"/>
      <c r="G236" s="369"/>
      <c r="H236" s="369"/>
      <c r="I236" s="369"/>
    </row>
    <row r="237" spans="1:9" ht="16">
      <c r="A237" s="388"/>
      <c r="B237" s="444"/>
      <c r="C237" s="369"/>
      <c r="D237" s="369"/>
      <c r="E237" s="369"/>
      <c r="F237" s="369"/>
      <c r="G237" s="369"/>
      <c r="H237" s="369"/>
      <c r="I237" s="369"/>
    </row>
    <row r="238" spans="1:9" ht="16">
      <c r="A238" s="388"/>
      <c r="B238" s="444"/>
      <c r="C238" s="369"/>
      <c r="D238" s="369"/>
      <c r="E238" s="369"/>
      <c r="F238" s="369"/>
      <c r="G238" s="369"/>
      <c r="H238" s="369"/>
      <c r="I238" s="369"/>
    </row>
    <row r="239" spans="1:9" ht="16">
      <c r="A239" s="388"/>
      <c r="B239" s="444"/>
      <c r="C239" s="369"/>
      <c r="D239" s="369"/>
      <c r="E239" s="369"/>
      <c r="F239" s="369"/>
      <c r="G239" s="369"/>
      <c r="H239" s="369"/>
      <c r="I239" s="369"/>
    </row>
    <row r="240" spans="1:9" ht="16">
      <c r="A240" s="388"/>
      <c r="B240" s="444"/>
      <c r="C240" s="369"/>
      <c r="D240" s="369"/>
      <c r="E240" s="369"/>
      <c r="F240" s="369"/>
      <c r="G240" s="369"/>
      <c r="H240" s="369"/>
      <c r="I240" s="369"/>
    </row>
    <row r="241" spans="1:9" ht="16">
      <c r="A241" s="388"/>
      <c r="B241" s="444"/>
      <c r="C241" s="369"/>
      <c r="D241" s="369"/>
      <c r="E241" s="369"/>
      <c r="F241" s="369"/>
      <c r="G241" s="369"/>
      <c r="H241" s="369"/>
      <c r="I241" s="369"/>
    </row>
    <row r="242" spans="1:9" ht="16">
      <c r="A242" s="388"/>
      <c r="B242" s="444"/>
      <c r="C242" s="369"/>
      <c r="D242" s="369"/>
      <c r="E242" s="369"/>
      <c r="F242" s="369"/>
      <c r="G242" s="369"/>
      <c r="H242" s="369"/>
      <c r="I242" s="369"/>
    </row>
    <row r="243" spans="1:9" ht="16">
      <c r="A243" s="388"/>
      <c r="B243" s="444"/>
      <c r="C243" s="369"/>
      <c r="D243" s="369"/>
      <c r="E243" s="369"/>
      <c r="F243" s="369"/>
      <c r="G243" s="369"/>
      <c r="H243" s="369"/>
      <c r="I243" s="369"/>
    </row>
    <row r="244" spans="1:9" ht="16">
      <c r="A244" s="388"/>
      <c r="B244" s="444"/>
      <c r="C244" s="369"/>
      <c r="D244" s="369"/>
      <c r="E244" s="369"/>
      <c r="F244" s="369"/>
      <c r="G244" s="369"/>
      <c r="H244" s="369"/>
      <c r="I244" s="369"/>
    </row>
    <row r="245" spans="1:9" ht="16">
      <c r="A245" s="388"/>
      <c r="B245" s="444"/>
      <c r="C245" s="369"/>
      <c r="D245" s="369"/>
      <c r="E245" s="369"/>
      <c r="F245" s="369"/>
      <c r="G245" s="369"/>
      <c r="H245" s="369"/>
      <c r="I245" s="369"/>
    </row>
    <row r="246" spans="1:9" ht="16">
      <c r="A246" s="388"/>
      <c r="B246" s="444"/>
      <c r="C246" s="369"/>
      <c r="D246" s="369"/>
      <c r="E246" s="369"/>
      <c r="F246" s="369"/>
      <c r="G246" s="369"/>
      <c r="H246" s="369"/>
      <c r="I246" s="369"/>
    </row>
    <row r="247" spans="1:9" ht="16">
      <c r="A247" s="388"/>
      <c r="B247" s="444"/>
      <c r="C247" s="369"/>
      <c r="D247" s="369"/>
      <c r="E247" s="369"/>
      <c r="F247" s="369"/>
      <c r="G247" s="369"/>
      <c r="H247" s="369"/>
      <c r="I247" s="369"/>
    </row>
    <row r="248" spans="1:9" ht="16">
      <c r="A248" s="388"/>
      <c r="B248" s="444"/>
      <c r="C248" s="369"/>
      <c r="D248" s="369"/>
      <c r="E248" s="369"/>
      <c r="F248" s="369"/>
      <c r="G248" s="369"/>
      <c r="H248" s="369"/>
      <c r="I248" s="369"/>
    </row>
    <row r="249" spans="1:9" ht="16">
      <c r="A249" s="388"/>
      <c r="B249" s="444"/>
      <c r="C249" s="369"/>
      <c r="D249" s="369"/>
      <c r="E249" s="369"/>
      <c r="F249" s="369"/>
      <c r="G249" s="369"/>
      <c r="H249" s="369"/>
      <c r="I249" s="369"/>
    </row>
    <row r="250" spans="1:9" ht="16">
      <c r="A250" s="388"/>
      <c r="B250" s="444"/>
      <c r="C250" s="369"/>
      <c r="D250" s="369"/>
      <c r="E250" s="369"/>
      <c r="F250" s="369"/>
      <c r="G250" s="369"/>
      <c r="H250" s="369"/>
      <c r="I250" s="369"/>
    </row>
    <row r="251" spans="1:9" ht="16">
      <c r="A251" s="388"/>
      <c r="B251" s="444"/>
      <c r="C251" s="369"/>
      <c r="D251" s="369"/>
      <c r="E251" s="369"/>
      <c r="F251" s="369"/>
      <c r="G251" s="369"/>
      <c r="H251" s="369"/>
      <c r="I251" s="369"/>
    </row>
    <row r="252" spans="1:9" ht="16">
      <c r="A252" s="388"/>
      <c r="B252" s="444"/>
      <c r="C252" s="369"/>
      <c r="D252" s="369"/>
      <c r="E252" s="369"/>
      <c r="F252" s="369"/>
      <c r="G252" s="369"/>
      <c r="H252" s="369"/>
      <c r="I252" s="369"/>
    </row>
    <row r="253" spans="1:9" ht="16">
      <c r="A253" s="388"/>
      <c r="B253" s="444"/>
      <c r="C253" s="369"/>
      <c r="D253" s="369"/>
      <c r="E253" s="369"/>
      <c r="F253" s="369"/>
      <c r="G253" s="369"/>
      <c r="H253" s="369"/>
      <c r="I253" s="369"/>
    </row>
    <row r="254" spans="1:9" ht="16">
      <c r="A254" s="388"/>
      <c r="B254" s="444"/>
      <c r="C254" s="369"/>
      <c r="D254" s="369"/>
      <c r="E254" s="369"/>
      <c r="F254" s="369"/>
      <c r="G254" s="369"/>
      <c r="H254" s="369"/>
      <c r="I254" s="369"/>
    </row>
    <row r="255" spans="1:9" ht="16">
      <c r="A255" s="388"/>
      <c r="B255" s="444"/>
      <c r="C255" s="369"/>
      <c r="D255" s="369"/>
      <c r="E255" s="369"/>
      <c r="F255" s="369"/>
      <c r="G255" s="369"/>
      <c r="H255" s="369"/>
      <c r="I255" s="369"/>
    </row>
    <row r="256" spans="1:9" ht="16">
      <c r="A256" s="388"/>
      <c r="B256" s="444"/>
      <c r="C256" s="369"/>
      <c r="D256" s="369"/>
      <c r="E256" s="369"/>
      <c r="F256" s="369"/>
      <c r="G256" s="369"/>
      <c r="H256" s="369"/>
      <c r="I256" s="369"/>
    </row>
    <row r="257" spans="1:9" ht="16">
      <c r="A257" s="388"/>
      <c r="B257" s="444"/>
      <c r="C257" s="369"/>
      <c r="D257" s="369"/>
      <c r="E257" s="369"/>
      <c r="F257" s="369"/>
      <c r="G257" s="369"/>
      <c r="H257" s="369"/>
      <c r="I257" s="369"/>
    </row>
    <row r="258" spans="1:9" ht="16">
      <c r="A258" s="388"/>
      <c r="B258" s="444"/>
      <c r="C258" s="369"/>
      <c r="D258" s="369"/>
      <c r="E258" s="369"/>
      <c r="F258" s="369"/>
      <c r="G258" s="369"/>
      <c r="H258" s="369"/>
      <c r="I258" s="369"/>
    </row>
    <row r="259" spans="1:9" ht="16">
      <c r="A259" s="388"/>
      <c r="B259" s="444"/>
      <c r="C259" s="369"/>
      <c r="D259" s="369"/>
      <c r="E259" s="369"/>
      <c r="F259" s="369"/>
      <c r="G259" s="369"/>
      <c r="H259" s="369"/>
      <c r="I259" s="369"/>
    </row>
    <row r="260" spans="1:9" ht="16">
      <c r="A260" s="388"/>
      <c r="B260" s="444"/>
      <c r="C260" s="369"/>
      <c r="D260" s="369"/>
      <c r="E260" s="369"/>
      <c r="F260" s="369"/>
      <c r="G260" s="369"/>
      <c r="H260" s="369"/>
      <c r="I260" s="369"/>
    </row>
    <row r="261" spans="1:9" ht="16">
      <c r="A261" s="388"/>
      <c r="B261" s="444"/>
      <c r="C261" s="369"/>
      <c r="D261" s="369"/>
      <c r="E261" s="369"/>
      <c r="F261" s="369"/>
      <c r="G261" s="369"/>
      <c r="H261" s="369"/>
      <c r="I261" s="369"/>
    </row>
    <row r="262" spans="1:9" ht="16">
      <c r="A262" s="388"/>
      <c r="B262" s="444"/>
      <c r="C262" s="369"/>
      <c r="D262" s="369"/>
      <c r="E262" s="369"/>
      <c r="F262" s="369"/>
      <c r="G262" s="369"/>
      <c r="H262" s="369"/>
      <c r="I262" s="369"/>
    </row>
    <row r="263" spans="1:9" ht="16">
      <c r="A263" s="388"/>
      <c r="B263" s="444"/>
      <c r="C263" s="369"/>
      <c r="D263" s="369"/>
      <c r="E263" s="369"/>
      <c r="F263" s="369"/>
      <c r="G263" s="369"/>
      <c r="H263" s="369"/>
      <c r="I263" s="369"/>
    </row>
    <row r="264" spans="1:9" ht="16">
      <c r="A264" s="388"/>
      <c r="B264" s="444"/>
      <c r="C264" s="369"/>
      <c r="D264" s="369"/>
      <c r="E264" s="369"/>
      <c r="F264" s="369"/>
      <c r="G264" s="369"/>
      <c r="H264" s="369"/>
      <c r="I264" s="369"/>
    </row>
    <row r="265" spans="1:9" ht="16">
      <c r="A265" s="388"/>
      <c r="B265" s="444"/>
      <c r="C265" s="369"/>
      <c r="D265" s="369"/>
      <c r="E265" s="369"/>
      <c r="F265" s="369"/>
      <c r="G265" s="369"/>
      <c r="H265" s="369"/>
      <c r="I265" s="369"/>
    </row>
    <row r="266" spans="1:9" ht="16">
      <c r="A266" s="388"/>
      <c r="B266" s="444"/>
      <c r="C266" s="369"/>
      <c r="D266" s="369"/>
      <c r="E266" s="369"/>
      <c r="F266" s="369"/>
      <c r="G266" s="369"/>
      <c r="H266" s="369"/>
      <c r="I266" s="369"/>
    </row>
    <row r="267" spans="1:9" ht="16">
      <c r="A267" s="388"/>
      <c r="B267" s="444"/>
      <c r="C267" s="369"/>
      <c r="D267" s="369"/>
      <c r="E267" s="369"/>
      <c r="F267" s="369"/>
      <c r="G267" s="369"/>
      <c r="H267" s="369"/>
      <c r="I267" s="369"/>
    </row>
    <row r="268" spans="1:9" ht="16">
      <c r="A268" s="388"/>
      <c r="B268" s="444"/>
      <c r="C268" s="369"/>
      <c r="D268" s="369"/>
      <c r="E268" s="369"/>
      <c r="F268" s="369"/>
      <c r="G268" s="369"/>
      <c r="H268" s="369"/>
      <c r="I268" s="369"/>
    </row>
    <row r="269" spans="1:9" ht="16">
      <c r="A269" s="388"/>
      <c r="B269" s="444"/>
      <c r="C269" s="369"/>
      <c r="D269" s="369"/>
      <c r="E269" s="369"/>
      <c r="F269" s="369"/>
      <c r="G269" s="369"/>
      <c r="H269" s="369"/>
      <c r="I269" s="369"/>
    </row>
    <row r="270" spans="1:9" ht="16">
      <c r="A270" s="388"/>
      <c r="B270" s="444"/>
      <c r="C270" s="369"/>
      <c r="D270" s="369"/>
      <c r="E270" s="369"/>
      <c r="F270" s="369"/>
      <c r="G270" s="369"/>
      <c r="H270" s="369"/>
      <c r="I270" s="369"/>
    </row>
    <row r="271" spans="1:9" ht="16">
      <c r="A271" s="388"/>
      <c r="B271" s="444"/>
      <c r="C271" s="369"/>
      <c r="D271" s="369"/>
      <c r="E271" s="369"/>
      <c r="F271" s="369"/>
      <c r="G271" s="369"/>
      <c r="H271" s="369"/>
      <c r="I271" s="369"/>
    </row>
    <row r="272" spans="1:9" ht="16">
      <c r="A272" s="388"/>
      <c r="B272" s="444"/>
      <c r="C272" s="369"/>
      <c r="D272" s="369"/>
      <c r="E272" s="369"/>
      <c r="F272" s="369"/>
      <c r="G272" s="369"/>
      <c r="H272" s="369"/>
      <c r="I272" s="369"/>
    </row>
    <row r="273" spans="1:9" ht="16">
      <c r="A273" s="388"/>
      <c r="B273" s="444"/>
      <c r="C273" s="369"/>
      <c r="D273" s="369"/>
      <c r="E273" s="369"/>
      <c r="F273" s="369"/>
      <c r="G273" s="369"/>
      <c r="H273" s="369"/>
      <c r="I273" s="369"/>
    </row>
    <row r="274" spans="1:9" ht="16">
      <c r="A274" s="388"/>
      <c r="B274" s="444"/>
      <c r="C274" s="369"/>
      <c r="D274" s="369"/>
      <c r="E274" s="369"/>
      <c r="F274" s="369"/>
      <c r="G274" s="369"/>
      <c r="H274" s="369"/>
      <c r="I274" s="369"/>
    </row>
    <row r="275" spans="1:9" ht="16">
      <c r="A275" s="388"/>
      <c r="B275" s="444"/>
      <c r="C275" s="369"/>
      <c r="D275" s="369"/>
      <c r="E275" s="369"/>
      <c r="F275" s="369"/>
      <c r="G275" s="369"/>
      <c r="H275" s="369"/>
      <c r="I275" s="369"/>
    </row>
    <row r="276" spans="1:9" ht="16">
      <c r="A276" s="388"/>
      <c r="B276" s="444"/>
      <c r="C276" s="369"/>
      <c r="D276" s="369"/>
      <c r="E276" s="369"/>
      <c r="F276" s="369"/>
      <c r="G276" s="369"/>
      <c r="H276" s="369"/>
      <c r="I276" s="369"/>
    </row>
    <row r="277" spans="1:9" ht="16">
      <c r="A277" s="388"/>
      <c r="B277" s="444"/>
      <c r="C277" s="369"/>
      <c r="D277" s="369"/>
      <c r="E277" s="369"/>
      <c r="F277" s="369"/>
      <c r="G277" s="369"/>
      <c r="H277" s="369"/>
      <c r="I277" s="369"/>
    </row>
    <row r="278" spans="1:9" ht="16">
      <c r="A278" s="388"/>
      <c r="B278" s="444"/>
      <c r="C278" s="369"/>
      <c r="D278" s="369"/>
      <c r="E278" s="369"/>
      <c r="F278" s="369"/>
      <c r="G278" s="369"/>
      <c r="H278" s="369"/>
      <c r="I278" s="369"/>
    </row>
    <row r="279" spans="1:9" ht="16">
      <c r="A279" s="388"/>
      <c r="B279" s="444"/>
      <c r="C279" s="369"/>
      <c r="D279" s="369"/>
      <c r="E279" s="369"/>
      <c r="F279" s="369"/>
      <c r="G279" s="369"/>
      <c r="H279" s="369"/>
      <c r="I279" s="369"/>
    </row>
    <row r="280" spans="1:9" ht="16">
      <c r="A280" s="388"/>
      <c r="B280" s="444"/>
      <c r="C280" s="369"/>
      <c r="D280" s="369"/>
      <c r="E280" s="369"/>
      <c r="F280" s="369"/>
      <c r="G280" s="369"/>
      <c r="H280" s="369"/>
      <c r="I280" s="369"/>
    </row>
    <row r="281" spans="1:9" ht="16">
      <c r="A281" s="388"/>
      <c r="B281" s="444"/>
      <c r="C281" s="369"/>
      <c r="D281" s="369"/>
      <c r="E281" s="369"/>
      <c r="F281" s="369"/>
      <c r="G281" s="369"/>
      <c r="H281" s="369"/>
      <c r="I281" s="369"/>
    </row>
    <row r="282" spans="1:9" ht="16">
      <c r="A282" s="388"/>
      <c r="B282" s="444"/>
      <c r="C282" s="369"/>
      <c r="D282" s="369"/>
      <c r="E282" s="369"/>
      <c r="F282" s="369"/>
      <c r="G282" s="369"/>
      <c r="H282" s="369"/>
      <c r="I282" s="369"/>
    </row>
    <row r="283" spans="1:9" ht="16">
      <c r="A283" s="388"/>
      <c r="B283" s="444"/>
      <c r="C283" s="369"/>
      <c r="D283" s="369"/>
      <c r="E283" s="369"/>
      <c r="F283" s="369"/>
      <c r="G283" s="369"/>
      <c r="H283" s="369"/>
      <c r="I283" s="369"/>
    </row>
    <row r="284" spans="1:9" ht="16">
      <c r="A284" s="388"/>
      <c r="B284" s="444"/>
      <c r="C284" s="369"/>
      <c r="D284" s="369"/>
      <c r="E284" s="369"/>
      <c r="F284" s="369"/>
      <c r="G284" s="369"/>
      <c r="H284" s="369"/>
      <c r="I284" s="369"/>
    </row>
    <row r="285" spans="1:9" ht="16">
      <c r="A285" s="388"/>
      <c r="B285" s="444"/>
      <c r="C285" s="369"/>
      <c r="D285" s="369"/>
      <c r="E285" s="369"/>
      <c r="F285" s="369"/>
      <c r="G285" s="369"/>
      <c r="H285" s="369"/>
      <c r="I285" s="369"/>
    </row>
    <row r="286" spans="1:9" ht="16">
      <c r="A286" s="388"/>
      <c r="B286" s="444"/>
      <c r="C286" s="369"/>
      <c r="D286" s="369"/>
      <c r="E286" s="369"/>
      <c r="F286" s="369"/>
      <c r="G286" s="369"/>
      <c r="H286" s="369"/>
      <c r="I286" s="369"/>
    </row>
    <row r="287" spans="1:9" ht="16">
      <c r="A287" s="388"/>
      <c r="B287" s="444"/>
      <c r="C287" s="369"/>
      <c r="D287" s="369"/>
      <c r="E287" s="369"/>
      <c r="F287" s="369"/>
      <c r="G287" s="369"/>
      <c r="H287" s="369"/>
      <c r="I287" s="369"/>
    </row>
    <row r="288" spans="1:9" ht="16">
      <c r="A288" s="388"/>
      <c r="B288" s="444"/>
      <c r="C288" s="369"/>
      <c r="D288" s="369"/>
      <c r="E288" s="369"/>
      <c r="F288" s="369"/>
      <c r="G288" s="369"/>
      <c r="H288" s="369"/>
      <c r="I288" s="369"/>
    </row>
    <row r="289" spans="1:9" ht="16">
      <c r="A289" s="388"/>
      <c r="B289" s="444"/>
      <c r="C289" s="369"/>
      <c r="D289" s="369"/>
      <c r="E289" s="369"/>
      <c r="F289" s="369"/>
      <c r="G289" s="369"/>
      <c r="H289" s="369"/>
      <c r="I289" s="369"/>
    </row>
    <row r="290" spans="1:9" ht="16">
      <c r="A290" s="388"/>
      <c r="B290" s="444"/>
      <c r="C290" s="369"/>
      <c r="D290" s="369"/>
      <c r="E290" s="369"/>
      <c r="F290" s="369"/>
      <c r="G290" s="369"/>
      <c r="H290" s="369"/>
      <c r="I290" s="369"/>
    </row>
    <row r="291" spans="1:9" ht="16">
      <c r="A291" s="388"/>
      <c r="B291" s="444"/>
      <c r="C291" s="369"/>
      <c r="D291" s="369"/>
      <c r="E291" s="369"/>
      <c r="F291" s="369"/>
      <c r="G291" s="369"/>
      <c r="H291" s="369"/>
      <c r="I291" s="369"/>
    </row>
  </sheetData>
  <sheetProtection sheet="1" formatCells="0" formatColumns="0" formatRows="0"/>
  <mergeCells count="7">
    <mergeCell ref="H151:H152"/>
    <mergeCell ref="I151:I152"/>
    <mergeCell ref="A2:C2"/>
    <mergeCell ref="H2:I2"/>
    <mergeCell ref="H122:H123"/>
    <mergeCell ref="I122:I123"/>
    <mergeCell ref="H127:I127"/>
  </mergeCells>
  <phoneticPr fontId="55" type="noConversion"/>
  <printOptions horizontalCentered="1"/>
  <pageMargins left="0.79" right="0.67" top="0.98" bottom="0.83" header="0.51" footer="0.51"/>
  <pageSetup paperSize="9" scale="57" orientation="portrait"/>
  <headerFooter alignWithMargins="0">
    <oddHeader>&amp;C&amp;"Arial,Fed"&amp;12ADMINISTRATIONSOMKOSTNINGER</oddHeader>
    <oddFooter>&amp;L&amp;G&amp;R
&amp;D
&amp;A</oddFooter>
  </headerFooter>
  <rowBreaks count="1" manualBreakCount="1">
    <brk id="125" max="16383" man="1"/>
  </rowBreaks>
  <colBreaks count="1" manualBreakCount="1">
    <brk id="9" max="1048575" man="1"/>
  </colBreaks>
  <drawing r:id="rId1"/>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Ark10">
    <tabColor rgb="FFFFFF00"/>
    <pageSetUpPr fitToPage="1"/>
  </sheetPr>
  <dimension ref="A1:M35"/>
  <sheetViews>
    <sheetView zoomScale="150" zoomScaleNormal="150" zoomScaleSheetLayoutView="100" workbookViewId="0">
      <selection activeCell="B4" sqref="B4"/>
    </sheetView>
  </sheetViews>
  <sheetFormatPr baseColWidth="10" defaultColWidth="11.5" defaultRowHeight="13"/>
  <cols>
    <col min="1" max="1" width="3.5" style="2" customWidth="1"/>
    <col min="2" max="2" width="12.5" customWidth="1"/>
    <col min="3" max="3" width="11.5" customWidth="1"/>
    <col min="4" max="4" width="11.83203125" style="33" customWidth="1"/>
    <col min="5" max="5" width="9.5" customWidth="1"/>
    <col min="6" max="7" width="8.5" customWidth="1"/>
    <col min="8" max="8" width="6.5" style="2" customWidth="1"/>
    <col min="9" max="9" width="15" style="2" customWidth="1"/>
    <col min="10" max="11" width="11.83203125" customWidth="1"/>
    <col min="12" max="12" width="15" customWidth="1"/>
  </cols>
  <sheetData>
    <row r="1" spans="1:13" s="98" customFormat="1" ht="28.5" customHeight="1" thickBot="1">
      <c r="A1" s="929"/>
      <c r="B1" s="900"/>
      <c r="C1" s="900"/>
      <c r="D1" s="930"/>
      <c r="E1" s="900"/>
      <c r="F1" s="900"/>
      <c r="G1" s="900"/>
      <c r="H1" s="929"/>
      <c r="I1" s="929"/>
      <c r="J1" s="900"/>
      <c r="K1" s="900"/>
      <c r="L1" s="900"/>
      <c r="M1" s="900"/>
    </row>
    <row r="2" spans="1:13" ht="49.5" customHeight="1" thickBot="1">
      <c r="B2" s="96" t="s">
        <v>1006</v>
      </c>
      <c r="E2" s="4"/>
    </row>
    <row r="3" spans="1:13" s="34" customFormat="1" ht="41" customHeight="1">
      <c r="A3" s="1987" t="s">
        <v>388</v>
      </c>
      <c r="B3" s="1988" t="s">
        <v>1007</v>
      </c>
      <c r="C3" s="1989" t="s">
        <v>1021</v>
      </c>
      <c r="D3" s="1990" t="s">
        <v>1022</v>
      </c>
      <c r="E3" s="1991" t="s">
        <v>1023</v>
      </c>
      <c r="F3" s="1991" t="s">
        <v>1024</v>
      </c>
      <c r="G3" s="1991" t="s">
        <v>1025</v>
      </c>
      <c r="H3" s="1991" t="s">
        <v>1026</v>
      </c>
      <c r="I3" s="1992" t="s">
        <v>1027</v>
      </c>
      <c r="J3" s="1993" t="str">
        <f>"Årlig afdrag "&amp;budgetår&amp;""</f>
        <v>Årlig afdrag 2026</v>
      </c>
      <c r="K3" s="1994" t="str">
        <f>"Årlig renter "&amp;budgetår&amp;""</f>
        <v>Årlig renter 2026</v>
      </c>
      <c r="L3" s="1995" t="str">
        <f>"Ændringer i afdrag i "&amp;budgetår+1&amp;" i forhold til "&amp;budgetår&amp;""</f>
        <v>Ændringer i afdrag i 2027 i forhold til 2026</v>
      </c>
      <c r="M3" s="1996" t="str">
        <f>"Ændringer i renter i "&amp;budgetår+1&amp;" i forhold til "&amp;budgetår&amp;""</f>
        <v>Ændringer i renter i 2027 i forhold til 2026</v>
      </c>
    </row>
    <row r="4" spans="1:13" ht="18" customHeight="1">
      <c r="A4" s="931">
        <v>1</v>
      </c>
      <c r="B4" s="1997"/>
      <c r="C4" s="1998"/>
      <c r="D4" s="208"/>
      <c r="E4" s="202"/>
      <c r="F4" s="209"/>
      <c r="G4" s="204"/>
      <c r="H4" s="210"/>
      <c r="I4" s="211"/>
      <c r="J4" s="1999"/>
      <c r="K4" s="2000"/>
      <c r="L4" s="2001"/>
      <c r="M4" s="2002"/>
    </row>
    <row r="5" spans="1:13" ht="18" customHeight="1" thickBot="1">
      <c r="A5" s="931">
        <v>2</v>
      </c>
      <c r="B5" s="207"/>
      <c r="C5" s="207"/>
      <c r="D5" s="208"/>
      <c r="E5" s="204"/>
      <c r="F5" s="212"/>
      <c r="G5" s="204"/>
      <c r="H5" s="210"/>
      <c r="I5" s="211"/>
      <c r="J5" s="213"/>
      <c r="K5" s="641"/>
      <c r="L5" s="2001"/>
      <c r="M5" s="2002"/>
    </row>
    <row r="6" spans="1:13" ht="18" customHeight="1" thickBot="1">
      <c r="A6" s="2003" t="s">
        <v>1028</v>
      </c>
      <c r="B6" s="2004"/>
      <c r="C6" s="932">
        <f>SUM(C4:C5)</f>
        <v>0</v>
      </c>
      <c r="D6" s="2005"/>
      <c r="E6" s="2006"/>
      <c r="F6" s="2006"/>
      <c r="G6" s="2006"/>
      <c r="H6" s="2007"/>
      <c r="I6" s="2008"/>
      <c r="J6" s="933">
        <f>SUM(J4:J5)</f>
        <v>0</v>
      </c>
      <c r="K6" s="934">
        <f>SUM(K4:K5)</f>
        <v>0</v>
      </c>
      <c r="L6" s="935">
        <f>SUM(L4:L5)</f>
        <v>0</v>
      </c>
      <c r="M6" s="2009">
        <f>SUM(M4:M5)</f>
        <v>0</v>
      </c>
    </row>
    <row r="7" spans="1:13" s="34" customFormat="1" ht="41" customHeight="1">
      <c r="A7" s="1987" t="s">
        <v>388</v>
      </c>
      <c r="B7" s="1988" t="s">
        <v>1008</v>
      </c>
      <c r="C7" s="1989" t="s">
        <v>1021</v>
      </c>
      <c r="D7" s="1990" t="s">
        <v>1022</v>
      </c>
      <c r="E7" s="1991" t="s">
        <v>1023</v>
      </c>
      <c r="F7" s="1991" t="s">
        <v>1024</v>
      </c>
      <c r="G7" s="1991" t="s">
        <v>1025</v>
      </c>
      <c r="H7" s="1991" t="s">
        <v>1029</v>
      </c>
      <c r="I7" s="1992" t="s">
        <v>1027</v>
      </c>
      <c r="J7" s="1993" t="str">
        <f>"Årlig afdrag "&amp;budgetår&amp;""</f>
        <v>Årlig afdrag 2026</v>
      </c>
      <c r="K7" s="1994" t="str">
        <f>"Årlig renter "&amp;budgetår&amp;""</f>
        <v>Årlig renter 2026</v>
      </c>
      <c r="L7" s="2010" t="str">
        <f>"Ændringer i afdrag i "&amp;budgetår+1&amp;" i forhold til "&amp;budgetår&amp;""</f>
        <v>Ændringer i afdrag i 2027 i forhold til 2026</v>
      </c>
      <c r="M7" s="2011" t="str">
        <f>"Ændringer i renter i "&amp;budgetår+1&amp;" i forhold til "&amp;budgetår&amp;""</f>
        <v>Ændringer i renter i 2027 i forhold til 2026</v>
      </c>
    </row>
    <row r="8" spans="1:13" ht="18" customHeight="1">
      <c r="A8" s="931">
        <v>8</v>
      </c>
      <c r="B8" s="205"/>
      <c r="C8" s="208"/>
      <c r="D8" s="270"/>
      <c r="E8" s="271"/>
      <c r="F8" s="210"/>
      <c r="G8" s="210"/>
      <c r="H8" s="211"/>
      <c r="I8" s="211"/>
      <c r="J8" s="205"/>
      <c r="K8" s="642"/>
      <c r="L8" s="2001"/>
      <c r="M8" s="2002"/>
    </row>
    <row r="9" spans="1:13" ht="18" customHeight="1">
      <c r="A9" s="931">
        <v>9</v>
      </c>
      <c r="B9" s="204"/>
      <c r="C9" s="205"/>
      <c r="D9" s="208"/>
      <c r="E9" s="272"/>
      <c r="F9" s="271"/>
      <c r="G9" s="210"/>
      <c r="H9" s="210"/>
      <c r="I9" s="211"/>
      <c r="J9" s="205"/>
      <c r="K9" s="642"/>
      <c r="L9" s="2001"/>
      <c r="M9" s="2002"/>
    </row>
    <row r="10" spans="1:13" ht="18" customHeight="1" thickBot="1">
      <c r="A10" s="931">
        <v>10</v>
      </c>
      <c r="B10" s="204"/>
      <c r="C10" s="205"/>
      <c r="D10" s="208"/>
      <c r="E10" s="272"/>
      <c r="F10" s="271"/>
      <c r="G10" s="210"/>
      <c r="H10" s="210"/>
      <c r="I10" s="215"/>
      <c r="J10" s="205"/>
      <c r="K10" s="642"/>
      <c r="L10" s="2001"/>
      <c r="M10" s="2002"/>
    </row>
    <row r="11" spans="1:13" ht="18" customHeight="1" thickBot="1">
      <c r="A11" s="2012" t="s">
        <v>1030</v>
      </c>
      <c r="B11" s="2013"/>
      <c r="C11" s="2014">
        <f>SUM(C8:C10)</f>
        <v>0</v>
      </c>
      <c r="D11" s="2015"/>
      <c r="E11" s="2016"/>
      <c r="F11" s="2016"/>
      <c r="G11" s="2016"/>
      <c r="H11" s="2017"/>
      <c r="I11" s="2017"/>
      <c r="J11" s="2018">
        <f>SUM(J8:J10)</f>
        <v>0</v>
      </c>
      <c r="K11" s="2019">
        <f>SUM(K8:K10)</f>
        <v>0</v>
      </c>
      <c r="L11" s="2020">
        <f>SUM(L8:L10)</f>
        <v>0</v>
      </c>
      <c r="M11" s="2021">
        <f>SUM(M8:M10)</f>
        <v>0</v>
      </c>
    </row>
    <row r="12" spans="1:13" s="34" customFormat="1" ht="42" customHeight="1">
      <c r="A12" s="1987" t="s">
        <v>388</v>
      </c>
      <c r="B12" s="1988" t="s">
        <v>1009</v>
      </c>
      <c r="C12" s="1989" t="s">
        <v>1021</v>
      </c>
      <c r="D12" s="1990" t="s">
        <v>1022</v>
      </c>
      <c r="E12" s="1991" t="s">
        <v>1023</v>
      </c>
      <c r="F12" s="1991" t="s">
        <v>1024</v>
      </c>
      <c r="G12" s="1991" t="s">
        <v>1025</v>
      </c>
      <c r="H12" s="1991" t="s">
        <v>1026</v>
      </c>
      <c r="I12" s="1992" t="s">
        <v>1027</v>
      </c>
      <c r="J12" s="1993" t="str">
        <f>"Årlig afdrag "&amp;budgetår&amp;""</f>
        <v>Årlig afdrag 2026</v>
      </c>
      <c r="K12" s="1994" t="str">
        <f>"Årlig renter "&amp;budgetår&amp;""</f>
        <v>Årlig renter 2026</v>
      </c>
      <c r="L12" s="2010" t="str">
        <f>"Ændringer i afdrag i "&amp;budgetår+1&amp;" i forhold til "&amp;budgetår&amp;""</f>
        <v>Ændringer i afdrag i 2027 i forhold til 2026</v>
      </c>
      <c r="M12" s="2011" t="str">
        <f>"Ændringer i renter i "&amp;budgetår+1&amp;" i forhold til "&amp;budgetår&amp;""</f>
        <v>Ændringer i renter i 2027 i forhold til 2026</v>
      </c>
    </row>
    <row r="13" spans="1:13" ht="18" customHeight="1">
      <c r="A13" s="931">
        <v>11</v>
      </c>
      <c r="B13" s="204" t="s">
        <v>1031</v>
      </c>
      <c r="C13" s="205"/>
      <c r="D13" s="208"/>
      <c r="E13" s="202"/>
      <c r="F13" s="212"/>
      <c r="G13" s="204"/>
      <c r="H13" s="214"/>
      <c r="I13" s="211"/>
      <c r="J13" s="205"/>
      <c r="K13" s="642"/>
      <c r="L13" s="2001"/>
      <c r="M13" s="2002"/>
    </row>
    <row r="14" spans="1:13" ht="18" customHeight="1">
      <c r="A14" s="931">
        <v>12</v>
      </c>
      <c r="B14" s="204" t="s">
        <v>1011</v>
      </c>
      <c r="C14" s="205"/>
      <c r="D14" s="208"/>
      <c r="E14" s="202"/>
      <c r="F14" s="204"/>
      <c r="G14" s="204"/>
      <c r="H14" s="210"/>
      <c r="I14" s="211"/>
      <c r="J14" s="205"/>
      <c r="K14" s="829"/>
      <c r="L14" s="2022"/>
      <c r="M14" s="2023"/>
    </row>
    <row r="15" spans="1:13" ht="18" customHeight="1">
      <c r="A15" s="931">
        <v>13</v>
      </c>
      <c r="B15" s="204" t="s">
        <v>1032</v>
      </c>
      <c r="C15" s="205"/>
      <c r="D15" s="208"/>
      <c r="E15" s="204"/>
      <c r="F15" s="204"/>
      <c r="G15" s="204"/>
      <c r="H15" s="210"/>
      <c r="I15" s="215"/>
      <c r="J15" s="205"/>
      <c r="K15" s="829"/>
      <c r="L15" s="2022"/>
      <c r="M15" s="2023"/>
    </row>
    <row r="16" spans="1:13" ht="18" customHeight="1" thickBot="1">
      <c r="A16" s="931">
        <v>14</v>
      </c>
      <c r="B16" s="273" t="s">
        <v>1438</v>
      </c>
      <c r="C16" s="205"/>
      <c r="D16" s="208"/>
      <c r="E16" s="204"/>
      <c r="F16" s="204"/>
      <c r="G16" s="204"/>
      <c r="H16" s="210"/>
      <c r="I16" s="215"/>
      <c r="J16" s="205"/>
      <c r="K16" s="829"/>
      <c r="L16" s="2001"/>
      <c r="M16" s="2002"/>
    </row>
    <row r="17" spans="1:13" ht="18" customHeight="1" thickBot="1">
      <c r="A17" s="2012" t="s">
        <v>1033</v>
      </c>
      <c r="B17" s="2013"/>
      <c r="C17" s="2014">
        <f>SUM(C13:C16)</f>
        <v>0</v>
      </c>
      <c r="D17" s="2015"/>
      <c r="E17" s="2016"/>
      <c r="F17" s="2016"/>
      <c r="G17" s="2016"/>
      <c r="H17" s="2017"/>
      <c r="I17" s="2014">
        <f>I13+I15</f>
        <v>0</v>
      </c>
      <c r="J17" s="2024">
        <f>SUM(J13:J16)</f>
        <v>0</v>
      </c>
      <c r="K17" s="2019">
        <f>SUM(K13:K16)</f>
        <v>0</v>
      </c>
      <c r="L17" s="2020">
        <f>SUM(L13:L16)</f>
        <v>0</v>
      </c>
      <c r="M17" s="2021">
        <f>SUM(M13:M16)</f>
        <v>0</v>
      </c>
    </row>
    <row r="18" spans="1:13" s="34" customFormat="1" ht="41" customHeight="1">
      <c r="A18" s="1987" t="s">
        <v>388</v>
      </c>
      <c r="B18" s="1988" t="s">
        <v>1034</v>
      </c>
      <c r="C18" s="1989" t="s">
        <v>1021</v>
      </c>
      <c r="D18" s="1990" t="s">
        <v>1022</v>
      </c>
      <c r="E18" s="1991" t="s">
        <v>1023</v>
      </c>
      <c r="F18" s="1991" t="s">
        <v>1024</v>
      </c>
      <c r="G18" s="1991" t="s">
        <v>1025</v>
      </c>
      <c r="H18" s="1991" t="s">
        <v>1026</v>
      </c>
      <c r="I18" s="1992" t="s">
        <v>1027</v>
      </c>
      <c r="J18" s="1993" t="str">
        <f>"Årlig afdrag "&amp;budgetår&amp;""</f>
        <v>Årlig afdrag 2026</v>
      </c>
      <c r="K18" s="1994" t="str">
        <f>"Årlig renter "&amp;budgetår&amp;""</f>
        <v>Årlig renter 2026</v>
      </c>
      <c r="L18" s="2010" t="str">
        <f>"Ændringer i afdrag i "&amp;budgetår+1&amp;" i forhold til "&amp;budgetår&amp;""</f>
        <v>Ændringer i afdrag i 2027 i forhold til 2026</v>
      </c>
      <c r="M18" s="2011" t="str">
        <f>"Ændringer i renter i "&amp;budgetår+1&amp;" i forhold til "&amp;budgetår&amp;""</f>
        <v>Ændringer i renter i 2027 i forhold til 2026</v>
      </c>
    </row>
    <row r="19" spans="1:13" ht="18" customHeight="1">
      <c r="A19" s="931">
        <v>17</v>
      </c>
      <c r="B19" s="204" t="s">
        <v>1010</v>
      </c>
      <c r="C19" s="205"/>
      <c r="D19" s="208"/>
      <c r="E19" s="204"/>
      <c r="F19" s="204"/>
      <c r="G19" s="204"/>
      <c r="H19" s="210"/>
      <c r="I19" s="215"/>
      <c r="J19" s="205"/>
      <c r="K19" s="642"/>
      <c r="L19" s="2001"/>
      <c r="M19" s="2002"/>
    </row>
    <row r="20" spans="1:13" ht="18" customHeight="1">
      <c r="A20" s="931">
        <v>18</v>
      </c>
      <c r="B20" s="204"/>
      <c r="C20" s="205"/>
      <c r="D20" s="208"/>
      <c r="E20" s="204"/>
      <c r="F20" s="204"/>
      <c r="G20" s="204"/>
      <c r="H20" s="210"/>
      <c r="I20" s="215"/>
      <c r="J20" s="205"/>
      <c r="K20" s="642"/>
      <c r="L20" s="2001"/>
      <c r="M20" s="2002"/>
    </row>
    <row r="21" spans="1:13" ht="18" customHeight="1">
      <c r="A21" s="931">
        <v>19</v>
      </c>
      <c r="B21" s="204"/>
      <c r="C21" s="205"/>
      <c r="D21" s="208"/>
      <c r="E21" s="204"/>
      <c r="F21" s="204"/>
      <c r="G21" s="204"/>
      <c r="H21" s="210"/>
      <c r="I21" s="215"/>
      <c r="J21" s="205"/>
      <c r="K21" s="642"/>
      <c r="L21" s="2001"/>
      <c r="M21" s="2002"/>
    </row>
    <row r="22" spans="1:13" ht="18" customHeight="1" thickBot="1">
      <c r="A22" s="931">
        <v>20</v>
      </c>
      <c r="B22" s="204"/>
      <c r="C22" s="205"/>
      <c r="D22" s="208"/>
      <c r="E22" s="204"/>
      <c r="F22" s="204"/>
      <c r="G22" s="204"/>
      <c r="H22" s="210"/>
      <c r="I22" s="216"/>
      <c r="J22" s="206"/>
      <c r="K22" s="642"/>
      <c r="L22" s="2001"/>
      <c r="M22" s="2002"/>
    </row>
    <row r="23" spans="1:13" ht="18" customHeight="1" thickBot="1">
      <c r="A23" s="2025" t="s">
        <v>1035</v>
      </c>
      <c r="B23" s="2026"/>
      <c r="C23" s="2027">
        <f>SUM(C19:C22)</f>
        <v>0</v>
      </c>
      <c r="D23" s="2028"/>
      <c r="E23" s="2029"/>
      <c r="F23" s="2029"/>
      <c r="G23" s="2029"/>
      <c r="H23" s="2030"/>
      <c r="I23" s="2027">
        <f>SUM(I19:I22)</f>
        <v>0</v>
      </c>
      <c r="J23" s="2027">
        <f>SUM(J19:J22)</f>
        <v>0</v>
      </c>
      <c r="K23" s="2031">
        <f>SUM(K19:K22)</f>
        <v>0</v>
      </c>
      <c r="L23" s="2032">
        <f>SUM(L19:L22)</f>
        <v>0</v>
      </c>
      <c r="M23" s="2033">
        <f>SUM(M19:M22)</f>
        <v>0</v>
      </c>
    </row>
    <row r="24" spans="1:13" ht="18" customHeight="1" thickBot="1">
      <c r="A24" s="830" t="s">
        <v>1036</v>
      </c>
      <c r="B24" s="936"/>
      <c r="C24" s="937"/>
      <c r="D24" s="938"/>
      <c r="E24" s="936"/>
      <c r="F24" s="936"/>
      <c r="G24" s="936"/>
      <c r="H24" s="939"/>
      <c r="I24" s="937"/>
      <c r="J24" s="937"/>
      <c r="K24" s="940"/>
    </row>
    <row r="25" spans="1:13" ht="15.75" customHeight="1">
      <c r="A25" s="2034"/>
      <c r="B25" s="2035"/>
      <c r="C25" s="2036"/>
      <c r="D25" s="2037"/>
      <c r="E25" s="2038"/>
      <c r="F25" s="2038"/>
      <c r="G25" s="2038"/>
      <c r="H25" s="2039"/>
      <c r="I25" s="2040" t="str">
        <f>"Afdrag nedskriver langfristet gæld i status i hovedskema."</f>
        <v>Afdrag nedskriver langfristet gæld i status i hovedskema.</v>
      </c>
      <c r="J25" s="2041">
        <f>J23+J17+J11+J6</f>
        <v>0</v>
      </c>
      <c r="K25" s="2042"/>
    </row>
    <row r="26" spans="1:13" ht="15.75" customHeight="1" thickBot="1">
      <c r="A26" s="2043"/>
      <c r="B26" s="2044"/>
      <c r="C26" s="941"/>
      <c r="D26" s="942"/>
      <c r="E26" s="943"/>
      <c r="F26" s="943"/>
      <c r="G26" s="943"/>
      <c r="H26" s="944"/>
      <c r="I26" s="945" t="str">
        <f>" Renteudgift til hovedskema "</f>
        <v xml:space="preserve"> Renteudgift til hovedskema </v>
      </c>
      <c r="J26" s="946"/>
      <c r="K26" s="947">
        <f>K23+K17+K11+K6</f>
        <v>0</v>
      </c>
    </row>
    <row r="27" spans="1:13" ht="18" customHeight="1"/>
    <row r="28" spans="1:13" ht="18" customHeight="1">
      <c r="B28" s="1"/>
      <c r="C28" s="1"/>
      <c r="D28" s="35"/>
    </row>
    <row r="29" spans="1:13" ht="18" customHeight="1">
      <c r="B29" s="2845"/>
      <c r="C29" s="2845"/>
      <c r="D29" s="35"/>
    </row>
    <row r="30" spans="1:13">
      <c r="B30" s="7"/>
      <c r="C30" s="7"/>
      <c r="L30" s="24"/>
    </row>
    <row r="31" spans="1:13">
      <c r="L31" s="24"/>
    </row>
    <row r="32" spans="1:13">
      <c r="L32" s="24"/>
    </row>
    <row r="33" spans="12:12">
      <c r="L33" s="24"/>
    </row>
    <row r="34" spans="12:12">
      <c r="L34" s="24"/>
    </row>
    <row r="35" spans="12:12" ht="15.75" customHeight="1"/>
  </sheetData>
  <sheetProtection sheet="1" formatCells="0" formatColumns="0" formatRows="0" selectLockedCells="1"/>
  <mergeCells count="1">
    <mergeCell ref="B29:C29"/>
  </mergeCells>
  <phoneticPr fontId="55" type="noConversion"/>
  <printOptions horizontalCentered="1"/>
  <pageMargins left="0.79" right="0.67" top="0.98" bottom="0.83" header="0.51" footer="0.51"/>
  <pageSetup paperSize="9" scale="73" orientation="portrait"/>
  <headerFooter alignWithMargins="0">
    <oddHeader>&amp;CRENTEOMKOSTNINGER</oddHeader>
    <oddFooter>&amp;L&amp;G&amp;R
&amp;D
&amp;A</oddFooter>
  </headerFooter>
  <drawing r:id="rId1"/>
  <legacyDrawingHF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Ark13">
    <tabColor rgb="FFFFFF00"/>
    <pageSetUpPr fitToPage="1"/>
  </sheetPr>
  <dimension ref="A1:J94"/>
  <sheetViews>
    <sheetView topLeftCell="A24" workbookViewId="0"/>
  </sheetViews>
  <sheetFormatPr baseColWidth="10" defaultColWidth="11.5" defaultRowHeight="13"/>
  <cols>
    <col min="1" max="1" width="4.83203125" customWidth="1"/>
    <col min="2" max="2" width="50.83203125" customWidth="1"/>
    <col min="3" max="6" width="15.5" customWidth="1"/>
  </cols>
  <sheetData>
    <row r="1" spans="1:8" s="98" customFormat="1" ht="26.25" customHeight="1" thickBot="1">
      <c r="A1" s="900"/>
      <c r="B1" s="929"/>
      <c r="C1" s="929"/>
      <c r="D1" s="929"/>
      <c r="E1" s="948"/>
      <c r="F1" s="949"/>
      <c r="G1" s="900"/>
      <c r="H1" s="900"/>
    </row>
    <row r="2" spans="1:8" ht="26.25" customHeight="1" thickBot="1">
      <c r="A2" s="3460" t="s">
        <v>1037</v>
      </c>
      <c r="B2" s="3460"/>
      <c r="C2" s="3460"/>
      <c r="D2" s="3460"/>
      <c r="E2" s="3460"/>
      <c r="F2" s="3460"/>
    </row>
    <row r="3" spans="1:8" ht="30" customHeight="1">
      <c r="A3" s="950"/>
      <c r="B3" s="951"/>
      <c r="C3" s="952" t="s">
        <v>1038</v>
      </c>
      <c r="D3" s="952" t="s">
        <v>1038</v>
      </c>
      <c r="E3" s="953" t="s">
        <v>1039</v>
      </c>
      <c r="F3" s="954" t="s">
        <v>1039</v>
      </c>
    </row>
    <row r="4" spans="1:8" ht="42" customHeight="1" thickBot="1">
      <c r="A4" s="831"/>
      <c r="B4" s="2045" t="s">
        <v>152</v>
      </c>
      <c r="C4" s="832">
        <f>E4-2</f>
        <v>2024</v>
      </c>
      <c r="D4" s="832">
        <f>E4-1</f>
        <v>2025</v>
      </c>
      <c r="E4" s="833">
        <f>Forside!B6</f>
        <v>2026</v>
      </c>
      <c r="F4" s="117" t="str">
        <f>budgetår+1&amp;"            "&amp;"("&amp;budgetår&amp;"+                  "&amp;fremskrivning*100&amp;"%)"</f>
        <v>2027            (2026+                  1,5%)</v>
      </c>
    </row>
    <row r="5" spans="1:8" ht="16" customHeight="1">
      <c r="A5" s="118"/>
      <c r="B5" s="109" t="s">
        <v>1040</v>
      </c>
      <c r="C5" s="110">
        <f>Hovedskema!D5</f>
        <v>0</v>
      </c>
      <c r="D5" s="110">
        <f>Hovedskema!E5</f>
        <v>0</v>
      </c>
      <c r="E5" s="110">
        <f>Hovedskema!F5</f>
        <v>0</v>
      </c>
      <c r="F5" s="119">
        <f>Hovedskema!G5</f>
        <v>0</v>
      </c>
    </row>
    <row r="6" spans="1:8" ht="15" customHeight="1" thickBot="1">
      <c r="A6" s="834"/>
      <c r="B6" s="2046" t="s">
        <v>1041</v>
      </c>
      <c r="C6" s="2047">
        <f>Hovedskema!D6</f>
        <v>0</v>
      </c>
      <c r="D6" s="2047">
        <f>Hovedskema!E6</f>
        <v>0</v>
      </c>
      <c r="E6" s="2047">
        <f>Hovedskema!F6</f>
        <v>0</v>
      </c>
      <c r="F6" s="2048">
        <f>Hovedskema!G6</f>
        <v>0</v>
      </c>
    </row>
    <row r="7" spans="1:8">
      <c r="A7" s="835">
        <v>1</v>
      </c>
      <c r="B7" s="43" t="s">
        <v>1042</v>
      </c>
      <c r="C7" s="87">
        <f>Hovedskema!D12+Hovedskema!D13</f>
        <v>0</v>
      </c>
      <c r="D7" s="87">
        <f>Hovedskema!E12+Hovedskema!E13</f>
        <v>0</v>
      </c>
      <c r="E7" s="87">
        <f>Hovedskema!F12+Hovedskema!F13</f>
        <v>135843</v>
      </c>
      <c r="F7" s="120">
        <f>Hovedskema!G12+Hovedskema!G13</f>
        <v>135843</v>
      </c>
    </row>
    <row r="8" spans="1:8">
      <c r="A8" s="835">
        <f>A7+1</f>
        <v>2</v>
      </c>
      <c r="B8" s="43" t="s">
        <v>1043</v>
      </c>
      <c r="C8" s="108" t="e">
        <f>Hovedskema!#REF!</f>
        <v>#REF!</v>
      </c>
      <c r="D8" s="108" t="e">
        <f>Hovedskema!#REF!</f>
        <v>#REF!</v>
      </c>
      <c r="E8" s="108" t="e">
        <f>Hovedskema!#REF!</f>
        <v>#REF!</v>
      </c>
      <c r="F8" s="121" t="e">
        <f>Hovedskema!#REF!</f>
        <v>#REF!</v>
      </c>
      <c r="G8" s="39"/>
    </row>
    <row r="9" spans="1:8">
      <c r="A9" s="835">
        <f>A8+1</f>
        <v>3</v>
      </c>
      <c r="B9" s="43" t="s">
        <v>1044</v>
      </c>
      <c r="C9" s="108">
        <f>Hovedskema!D15+Hovedskema!D16+Hovedskema!D18</f>
        <v>0</v>
      </c>
      <c r="D9" s="108">
        <f>Hovedskema!E15+Hovedskema!E16+Hovedskema!E18</f>
        <v>0</v>
      </c>
      <c r="E9" s="108">
        <f>Hovedskema!F15+Hovedskema!F16+Hovedskema!F18</f>
        <v>0</v>
      </c>
      <c r="F9" s="121">
        <f>Hovedskema!G15+Hovedskema!G16+Hovedskema!G18</f>
        <v>0</v>
      </c>
      <c r="G9" s="39"/>
    </row>
    <row r="10" spans="1:8">
      <c r="A10" s="835">
        <f>A9+1</f>
        <v>4</v>
      </c>
      <c r="B10" s="43" t="s">
        <v>1045</v>
      </c>
      <c r="C10" s="108">
        <f>Hovedskema!D28</f>
        <v>0</v>
      </c>
      <c r="D10" s="108">
        <f>Hovedskema!E28</f>
        <v>0</v>
      </c>
      <c r="E10" s="108">
        <f>Hovedskema!F28</f>
        <v>0</v>
      </c>
      <c r="F10" s="121">
        <f>Hovedskema!G28</f>
        <v>0</v>
      </c>
    </row>
    <row r="11" spans="1:8">
      <c r="A11" s="836"/>
      <c r="B11" s="122" t="s">
        <v>1046</v>
      </c>
      <c r="C11" s="771" t="e">
        <f>SUM(C7:C10)</f>
        <v>#REF!</v>
      </c>
      <c r="D11" s="771" t="e">
        <f>SUM(D7:D10)</f>
        <v>#REF!</v>
      </c>
      <c r="E11" s="771" t="e">
        <f>SUM(E7:E10)</f>
        <v>#REF!</v>
      </c>
      <c r="F11" s="837" t="e">
        <f>SUM(F7:F10)</f>
        <v>#REF!</v>
      </c>
    </row>
    <row r="12" spans="1:8">
      <c r="A12" s="835">
        <f>A10+1</f>
        <v>5</v>
      </c>
      <c r="B12" s="43" t="s">
        <v>1047</v>
      </c>
      <c r="C12" s="108" t="e">
        <f>Hovedskema!D43-Hovedskema!D40-Hovedskema!D39-Hovedskema!#REF!</f>
        <v>#REF!</v>
      </c>
      <c r="D12" s="108" t="e">
        <f>Hovedskema!E43-Hovedskema!E40-Hovedskema!E39-Hovedskema!#REF!</f>
        <v>#REF!</v>
      </c>
      <c r="E12" s="108" t="e">
        <f>Hovedskema!F43-Hovedskema!F40-Hovedskema!F39-Hovedskema!#REF!</f>
        <v>#REF!</v>
      </c>
      <c r="F12" s="121" t="e">
        <f>Hovedskema!G43-Hovedskema!G40-Hovedskema!G39-Hovedskema!#REF!</f>
        <v>#REF!</v>
      </c>
    </row>
    <row r="13" spans="1:8">
      <c r="A13" s="835">
        <f>A12+1</f>
        <v>6</v>
      </c>
      <c r="B13" s="43" t="s">
        <v>680</v>
      </c>
      <c r="C13" s="108">
        <f>Hovedskema!D39</f>
        <v>0</v>
      </c>
      <c r="D13" s="108">
        <f>Hovedskema!E39</f>
        <v>0</v>
      </c>
      <c r="E13" s="108">
        <f>Hovedskema!F39</f>
        <v>0</v>
      </c>
      <c r="F13" s="121">
        <f>Hovedskema!G39</f>
        <v>0</v>
      </c>
      <c r="G13" s="185"/>
      <c r="H13" s="185"/>
    </row>
    <row r="14" spans="1:8">
      <c r="A14" s="835">
        <f>A13+1</f>
        <v>7</v>
      </c>
      <c r="B14" s="43" t="s">
        <v>1048</v>
      </c>
      <c r="C14" s="108" t="e">
        <f>Hovedskema!D40+Hovedskema!#REF!</f>
        <v>#REF!</v>
      </c>
      <c r="D14" s="108" t="e">
        <f>Hovedskema!E40+Hovedskema!#REF!</f>
        <v>#REF!</v>
      </c>
      <c r="E14" s="108" t="e">
        <f>Hovedskema!F40+Hovedskema!#REF!</f>
        <v>#REF!</v>
      </c>
      <c r="F14" s="121" t="e">
        <f>Hovedskema!G40+Hovedskema!#REF!</f>
        <v>#REF!</v>
      </c>
    </row>
    <row r="15" spans="1:8">
      <c r="A15" s="836"/>
      <c r="B15" s="122" t="s">
        <v>1049</v>
      </c>
      <c r="C15" s="771" t="e">
        <f>SUM(C12:C14)</f>
        <v>#REF!</v>
      </c>
      <c r="D15" s="771" t="e">
        <f>SUM(D12:D14)</f>
        <v>#REF!</v>
      </c>
      <c r="E15" s="771" t="e">
        <f>SUM(E12:E14)</f>
        <v>#REF!</v>
      </c>
      <c r="F15" s="837" t="e">
        <f>SUM(F12:F14)</f>
        <v>#REF!</v>
      </c>
    </row>
    <row r="16" spans="1:8">
      <c r="A16" s="835">
        <f>A14+1</f>
        <v>8</v>
      </c>
      <c r="B16" s="43" t="s">
        <v>1050</v>
      </c>
      <c r="C16" s="108" t="e">
        <f>Hovedskema!D45+Hovedskema!D46+Hovedskema!#REF!</f>
        <v>#REF!</v>
      </c>
      <c r="D16" s="108" t="e">
        <f>Hovedskema!E45+Hovedskema!E46+Hovedskema!#REF!</f>
        <v>#REF!</v>
      </c>
      <c r="E16" s="108" t="e">
        <f>Hovedskema!F45+Hovedskema!F46+Hovedskema!#REF!</f>
        <v>#REF!</v>
      </c>
      <c r="F16" s="121" t="e">
        <f>Hovedskema!G45+Hovedskema!G46+Hovedskema!#REF!</f>
        <v>#REF!</v>
      </c>
    </row>
    <row r="17" spans="1:6">
      <c r="A17" s="835">
        <f>A16+1</f>
        <v>9</v>
      </c>
      <c r="B17" s="43" t="s">
        <v>1051</v>
      </c>
      <c r="C17" s="108" t="e">
        <f>Hovedskema!D53-C16</f>
        <v>#REF!</v>
      </c>
      <c r="D17" s="108" t="e">
        <f>Hovedskema!E53-D16</f>
        <v>#REF!</v>
      </c>
      <c r="E17" s="108" t="e">
        <f>Hovedskema!F53-E16</f>
        <v>#REF!</v>
      </c>
      <c r="F17" s="121" t="e">
        <f>Hovedskema!G53-F16</f>
        <v>#REF!</v>
      </c>
    </row>
    <row r="18" spans="1:6">
      <c r="A18" s="836"/>
      <c r="B18" s="122" t="s">
        <v>204</v>
      </c>
      <c r="C18" s="771" t="e">
        <f>SUM(C16:C17)</f>
        <v>#REF!</v>
      </c>
      <c r="D18" s="771" t="e">
        <f>SUM(D16:D17)</f>
        <v>#REF!</v>
      </c>
      <c r="E18" s="771" t="e">
        <f>SUM(E16:E17)</f>
        <v>#REF!</v>
      </c>
      <c r="F18" s="837" t="e">
        <f>SUM(F16:F17)</f>
        <v>#REF!</v>
      </c>
    </row>
    <row r="19" spans="1:6">
      <c r="A19" s="835">
        <f>A17+1</f>
        <v>10</v>
      </c>
      <c r="B19" s="43" t="s">
        <v>1052</v>
      </c>
      <c r="C19" s="111" t="e">
        <f>Hovedskema!D54+Hovedskema!D56+Hovedskema!#REF!</f>
        <v>#REF!</v>
      </c>
      <c r="D19" s="111" t="e">
        <f>Hovedskema!E54+Hovedskema!E56+Hovedskema!#REF!</f>
        <v>#REF!</v>
      </c>
      <c r="E19" s="111" t="e">
        <f>Hovedskema!F54+Hovedskema!F56+Hovedskema!#REF!</f>
        <v>#REF!</v>
      </c>
      <c r="F19" s="123" t="e">
        <f>Hovedskema!G54+Hovedskema!G56+Hovedskema!#REF!</f>
        <v>#REF!</v>
      </c>
    </row>
    <row r="20" spans="1:6">
      <c r="A20" s="835">
        <f>A19+1</f>
        <v>11</v>
      </c>
      <c r="B20" s="43" t="s">
        <v>1053</v>
      </c>
      <c r="C20" s="111" t="e">
        <f>Hovedskema!D59-C19</f>
        <v>#REF!</v>
      </c>
      <c r="D20" s="111" t="e">
        <f>Hovedskema!E59-D19</f>
        <v>#REF!</v>
      </c>
      <c r="E20" s="111" t="e">
        <f>Hovedskema!F59-E19</f>
        <v>#REF!</v>
      </c>
      <c r="F20" s="123" t="e">
        <f>Hovedskema!G59-F19</f>
        <v>#REF!</v>
      </c>
    </row>
    <row r="21" spans="1:6">
      <c r="A21" s="836"/>
      <c r="B21" s="102" t="s">
        <v>1054</v>
      </c>
      <c r="C21" s="113" t="e">
        <f>SUM(C19:C20)</f>
        <v>#REF!</v>
      </c>
      <c r="D21" s="113" t="e">
        <f>SUM(D19:D20)</f>
        <v>#REF!</v>
      </c>
      <c r="E21" s="113" t="e">
        <f>SUM(E19:E20)</f>
        <v>#REF!</v>
      </c>
      <c r="F21" s="124" t="e">
        <f>SUM(F19:F20)</f>
        <v>#REF!</v>
      </c>
    </row>
    <row r="22" spans="1:6">
      <c r="A22" s="835">
        <f>A20+1</f>
        <v>12</v>
      </c>
      <c r="B22" s="43" t="s">
        <v>1055</v>
      </c>
      <c r="C22" s="108" t="e">
        <f>Hovedskema!D61+Hovedskema!D62+Hovedskema!#REF!</f>
        <v>#REF!</v>
      </c>
      <c r="D22" s="108" t="e">
        <f>Hovedskema!E61+Hovedskema!E62+Hovedskema!#REF!</f>
        <v>#REF!</v>
      </c>
      <c r="E22" s="108" t="e">
        <f>Hovedskema!F61+Hovedskema!F62+Hovedskema!#REF!</f>
        <v>#REF!</v>
      </c>
      <c r="F22" s="121" t="e">
        <f>Hovedskema!G61+Hovedskema!G62+Hovedskema!#REF!</f>
        <v>#REF!</v>
      </c>
    </row>
    <row r="23" spans="1:6">
      <c r="A23" s="835">
        <f>A22+1</f>
        <v>13</v>
      </c>
      <c r="B23" s="43" t="s">
        <v>1056</v>
      </c>
      <c r="C23" s="108" t="e">
        <f>Hovedskema!D65-C22</f>
        <v>#REF!</v>
      </c>
      <c r="D23" s="108" t="e">
        <f>Hovedskema!E65-D22</f>
        <v>#REF!</v>
      </c>
      <c r="E23" s="108" t="e">
        <f>Hovedskema!F65-E22</f>
        <v>#REF!</v>
      </c>
      <c r="F23" s="121" t="e">
        <f>Hovedskema!G65-F22</f>
        <v>#REF!</v>
      </c>
    </row>
    <row r="24" spans="1:6">
      <c r="A24" s="836"/>
      <c r="B24" s="102" t="s">
        <v>1057</v>
      </c>
      <c r="C24" s="113" t="e">
        <f>SUM(C22:C23)</f>
        <v>#REF!</v>
      </c>
      <c r="D24" s="113" t="e">
        <f>SUM(D22:D23)</f>
        <v>#REF!</v>
      </c>
      <c r="E24" s="113" t="e">
        <f>SUM(E22:E23)</f>
        <v>#REF!</v>
      </c>
      <c r="F24" s="124" t="e">
        <f>SUM(F22:F23)</f>
        <v>#REF!</v>
      </c>
    </row>
    <row r="25" spans="1:6">
      <c r="A25" s="836"/>
      <c r="B25" s="103" t="s">
        <v>1058</v>
      </c>
      <c r="C25" s="113">
        <f>Hovedskema!D66</f>
        <v>0</v>
      </c>
      <c r="D25" s="113">
        <f>Hovedskema!E66</f>
        <v>0</v>
      </c>
      <c r="E25" s="113">
        <f>Hovedskema!F66</f>
        <v>9167</v>
      </c>
      <c r="F25" s="124">
        <f>Hovedskema!G66</f>
        <v>9304.5049999999992</v>
      </c>
    </row>
    <row r="26" spans="1:6">
      <c r="A26" s="836"/>
      <c r="B26" s="103" t="s">
        <v>1059</v>
      </c>
      <c r="C26" s="113">
        <f>Hovedskema!D67</f>
        <v>0</v>
      </c>
      <c r="D26" s="113">
        <f>Hovedskema!E67</f>
        <v>0</v>
      </c>
      <c r="E26" s="113">
        <f>Hovedskema!F67</f>
        <v>126676</v>
      </c>
      <c r="F26" s="124">
        <f>Hovedskema!G67</f>
        <v>126538.495</v>
      </c>
    </row>
    <row r="27" spans="1:6">
      <c r="A27" s="835">
        <f>A23+1</f>
        <v>14</v>
      </c>
      <c r="B27" s="88" t="s">
        <v>1060</v>
      </c>
      <c r="C27" s="114">
        <f>Hovedskema!D73</f>
        <v>0</v>
      </c>
      <c r="D27" s="114">
        <f>Hovedskema!E73</f>
        <v>0</v>
      </c>
      <c r="E27" s="114">
        <f>Hovedskema!F73</f>
        <v>0</v>
      </c>
      <c r="F27" s="125">
        <f>Hovedskema!G73</f>
        <v>0</v>
      </c>
    </row>
    <row r="28" spans="1:6">
      <c r="A28" s="835">
        <f>A27+1</f>
        <v>15</v>
      </c>
      <c r="B28" s="43" t="s">
        <v>1061</v>
      </c>
      <c r="C28" s="108">
        <f>Hovedskema!D77</f>
        <v>0</v>
      </c>
      <c r="D28" s="108">
        <f>Hovedskema!E77</f>
        <v>0</v>
      </c>
      <c r="E28" s="108">
        <f>Hovedskema!F77</f>
        <v>0</v>
      </c>
      <c r="F28" s="121">
        <f>Hovedskema!G77</f>
        <v>0</v>
      </c>
    </row>
    <row r="29" spans="1:6">
      <c r="A29" s="836"/>
      <c r="B29" s="102" t="s">
        <v>1062</v>
      </c>
      <c r="C29" s="115">
        <f>C27-C28</f>
        <v>0</v>
      </c>
      <c r="D29" s="115">
        <f>D27-D28</f>
        <v>0</v>
      </c>
      <c r="E29" s="115">
        <f>E27-E28</f>
        <v>0</v>
      </c>
      <c r="F29" s="126">
        <f>F27-F28</f>
        <v>0</v>
      </c>
    </row>
    <row r="30" spans="1:6">
      <c r="A30" s="836"/>
      <c r="B30" s="103" t="s">
        <v>1063</v>
      </c>
      <c r="C30" s="115">
        <f>C26+C29</f>
        <v>0</v>
      </c>
      <c r="D30" s="115">
        <f>D26+D29</f>
        <v>0</v>
      </c>
      <c r="E30" s="115">
        <f>E26+E29</f>
        <v>126676</v>
      </c>
      <c r="F30" s="126">
        <f>F26+F29</f>
        <v>126538.495</v>
      </c>
    </row>
    <row r="31" spans="1:6">
      <c r="A31" s="835">
        <f>A28+1</f>
        <v>16</v>
      </c>
      <c r="B31" s="116" t="s">
        <v>230</v>
      </c>
      <c r="C31" s="108">
        <f>Hovedskema!D80</f>
        <v>0</v>
      </c>
      <c r="D31" s="108">
        <f>Hovedskema!E80</f>
        <v>0</v>
      </c>
      <c r="E31" s="108">
        <f>Hovedskema!F80</f>
        <v>0</v>
      </c>
      <c r="F31" s="121">
        <f>Hovedskema!G80</f>
        <v>0</v>
      </c>
    </row>
    <row r="32" spans="1:6">
      <c r="A32" s="835">
        <f>A31+1</f>
        <v>17</v>
      </c>
      <c r="B32" s="116" t="s">
        <v>1064</v>
      </c>
      <c r="C32" s="108">
        <f>Hovedskema!D81</f>
        <v>0</v>
      </c>
      <c r="D32" s="108">
        <f>Hovedskema!E81</f>
        <v>0</v>
      </c>
      <c r="E32" s="108">
        <f>Hovedskema!F81</f>
        <v>0</v>
      </c>
      <c r="F32" s="121">
        <f>Hovedskema!G81</f>
        <v>0</v>
      </c>
    </row>
    <row r="33" spans="1:6">
      <c r="A33" s="836"/>
      <c r="B33" s="102" t="s">
        <v>1065</v>
      </c>
      <c r="C33" s="115">
        <f>Hovedskema!D82</f>
        <v>0</v>
      </c>
      <c r="D33" s="115">
        <f>Hovedskema!E82</f>
        <v>0</v>
      </c>
      <c r="E33" s="115">
        <f>Hovedskema!F82</f>
        <v>0</v>
      </c>
      <c r="F33" s="126">
        <f>Hovedskema!G82</f>
        <v>0</v>
      </c>
    </row>
    <row r="34" spans="1:6">
      <c r="A34" s="836"/>
      <c r="B34" s="102" t="s">
        <v>233</v>
      </c>
      <c r="C34" s="113">
        <f>C30+C33</f>
        <v>0</v>
      </c>
      <c r="D34" s="113">
        <f>D30+D33</f>
        <v>0</v>
      </c>
      <c r="E34" s="113">
        <f>E30+E33</f>
        <v>126676</v>
      </c>
      <c r="F34" s="124">
        <f>F30+F33</f>
        <v>126538.495</v>
      </c>
    </row>
    <row r="35" spans="1:6">
      <c r="A35" s="127"/>
      <c r="C35" s="112"/>
      <c r="D35" s="112"/>
      <c r="E35" s="112"/>
      <c r="F35" s="128"/>
    </row>
    <row r="36" spans="1:6">
      <c r="A36" s="127"/>
      <c r="B36" s="185" t="s">
        <v>1066</v>
      </c>
      <c r="C36" s="112"/>
      <c r="D36" s="112"/>
      <c r="E36" s="112"/>
      <c r="F36" s="128"/>
    </row>
    <row r="37" spans="1:6">
      <c r="A37" s="835">
        <f>A32+1</f>
        <v>18</v>
      </c>
      <c r="B37" s="43" t="str">
        <f>Hovedskema!C86</f>
        <v>Ejendomme</v>
      </c>
      <c r="C37" s="87">
        <f>Hovedskema!D86</f>
        <v>0</v>
      </c>
      <c r="D37" s="87">
        <f>Hovedskema!E86</f>
        <v>0</v>
      </c>
      <c r="E37" s="87">
        <f>Hovedskema!F86</f>
        <v>0</v>
      </c>
      <c r="F37" s="120">
        <f>Hovedskema!G86</f>
        <v>0</v>
      </c>
    </row>
    <row r="38" spans="1:6">
      <c r="A38" s="835">
        <f>A37+1</f>
        <v>19</v>
      </c>
      <c r="B38" s="43" t="str">
        <f>Hovedskema!C87</f>
        <v>Inventar og udstyr, undervisning</v>
      </c>
      <c r="C38" s="87">
        <f>Hovedskema!D87</f>
        <v>0</v>
      </c>
      <c r="D38" s="87">
        <f>Hovedskema!E87</f>
        <v>0</v>
      </c>
      <c r="E38" s="87">
        <f>Hovedskema!F87</f>
        <v>0</v>
      </c>
      <c r="F38" s="120">
        <f>Hovedskema!G87</f>
        <v>0</v>
      </c>
    </row>
    <row r="39" spans="1:6">
      <c r="A39" s="835">
        <f>A38+1</f>
        <v>20</v>
      </c>
      <c r="B39" s="43" t="str">
        <f>Hovedskema!C88</f>
        <v>Inventar og udstyr, administration</v>
      </c>
      <c r="C39" s="87">
        <f>Hovedskema!D88</f>
        <v>0</v>
      </c>
      <c r="D39" s="87">
        <f>Hovedskema!E88</f>
        <v>0</v>
      </c>
      <c r="E39" s="87">
        <f>Hovedskema!F88</f>
        <v>0</v>
      </c>
      <c r="F39" s="120">
        <f>Hovedskema!G88</f>
        <v>0</v>
      </c>
    </row>
    <row r="40" spans="1:6">
      <c r="A40" s="835">
        <f>A39+1</f>
        <v>21</v>
      </c>
      <c r="B40" s="43" t="str">
        <f>Hovedskema!C89</f>
        <v>Bus m.v.</v>
      </c>
      <c r="C40" s="87">
        <f>Hovedskema!D89</f>
        <v>0</v>
      </c>
      <c r="D40" s="87">
        <f>Hovedskema!E89</f>
        <v>0</v>
      </c>
      <c r="E40" s="87">
        <f>Hovedskema!F89</f>
        <v>0</v>
      </c>
      <c r="F40" s="120">
        <f>Hovedskema!G89</f>
        <v>0</v>
      </c>
    </row>
    <row r="41" spans="1:6">
      <c r="A41" s="835">
        <f>A40+1</f>
        <v>22</v>
      </c>
      <c r="B41" s="43" t="str">
        <f>Hovedskema!C90</f>
        <v>Deposita, Bankaktier</v>
      </c>
      <c r="C41" s="87">
        <f>Hovedskema!D90</f>
        <v>0</v>
      </c>
      <c r="D41" s="87">
        <f>Hovedskema!E90</f>
        <v>0</v>
      </c>
      <c r="E41" s="87">
        <f>Hovedskema!F90</f>
        <v>0</v>
      </c>
      <c r="F41" s="120">
        <f>Hovedskema!G90</f>
        <v>0</v>
      </c>
    </row>
    <row r="42" spans="1:6">
      <c r="A42" s="835">
        <f>A41+1</f>
        <v>23</v>
      </c>
      <c r="B42" s="43" t="str">
        <f>Hovedskema!C91</f>
        <v>Andele i forsyningsvirksomheder</v>
      </c>
      <c r="C42" s="87">
        <f>Hovedskema!D91</f>
        <v>0</v>
      </c>
      <c r="D42" s="87">
        <f>Hovedskema!E91</f>
        <v>0</v>
      </c>
      <c r="E42" s="87">
        <f>Hovedskema!F91</f>
        <v>0</v>
      </c>
      <c r="F42" s="120">
        <f>Hovedskema!G91</f>
        <v>0</v>
      </c>
    </row>
    <row r="43" spans="1:6">
      <c r="A43" s="835">
        <f t="shared" ref="A43:A56" si="0">A42+1</f>
        <v>24</v>
      </c>
      <c r="B43" s="102" t="str">
        <f>Hovedskema!C92</f>
        <v>ANLÆGSAKTIVER I ALT:</v>
      </c>
      <c r="C43" s="95">
        <f>Hovedskema!D92</f>
        <v>0</v>
      </c>
      <c r="D43" s="95">
        <f>Hovedskema!E92</f>
        <v>0</v>
      </c>
      <c r="E43" s="95">
        <f>Hovedskema!F92</f>
        <v>0</v>
      </c>
      <c r="F43" s="129">
        <f>Hovedskema!G92</f>
        <v>0</v>
      </c>
    </row>
    <row r="44" spans="1:6">
      <c r="A44" s="835">
        <f t="shared" si="0"/>
        <v>25</v>
      </c>
      <c r="B44" s="43" t="str">
        <f>Hovedskema!C93</f>
        <v>Tilgodehavender</v>
      </c>
      <c r="C44" s="87">
        <f>Hovedskema!D93</f>
        <v>0</v>
      </c>
      <c r="D44" s="87">
        <f>Hovedskema!E93</f>
        <v>0</v>
      </c>
      <c r="E44" s="87">
        <f>Hovedskema!F93</f>
        <v>0</v>
      </c>
      <c r="F44" s="120">
        <f>Hovedskema!G93</f>
        <v>0</v>
      </c>
    </row>
    <row r="45" spans="1:6">
      <c r="A45" s="835">
        <f t="shared" si="0"/>
        <v>26</v>
      </c>
      <c r="B45" s="43" t="str">
        <f>Hovedskema!C94</f>
        <v>Forudbetalte udgifter</v>
      </c>
      <c r="C45" s="87">
        <f>Hovedskema!D94</f>
        <v>0</v>
      </c>
      <c r="D45" s="87">
        <f>Hovedskema!E94</f>
        <v>0</v>
      </c>
      <c r="E45" s="87">
        <f>Hovedskema!F94</f>
        <v>0</v>
      </c>
      <c r="F45" s="120">
        <f>Hovedskema!G94</f>
        <v>0</v>
      </c>
    </row>
    <row r="46" spans="1:6">
      <c r="A46" s="835">
        <f t="shared" si="0"/>
        <v>27</v>
      </c>
      <c r="B46" s="43" t="str">
        <f>Hovedskema!C95</f>
        <v>Værdipapirer</v>
      </c>
      <c r="C46" s="87">
        <f>Hovedskema!D95</f>
        <v>0</v>
      </c>
      <c r="D46" s="87">
        <f>Hovedskema!E95</f>
        <v>0</v>
      </c>
      <c r="E46" s="87">
        <f>Hovedskema!F95</f>
        <v>0</v>
      </c>
      <c r="F46" s="120">
        <f>Hovedskema!G95</f>
        <v>0</v>
      </c>
    </row>
    <row r="47" spans="1:6">
      <c r="A47" s="835">
        <f t="shared" si="0"/>
        <v>28</v>
      </c>
      <c r="B47" s="43" t="str">
        <f>Hovedskema!C96</f>
        <v>Likvide beholdninger</v>
      </c>
      <c r="C47" s="87">
        <f>Hovedskema!D96</f>
        <v>0</v>
      </c>
      <c r="D47" s="87">
        <f>Hovedskema!E96</f>
        <v>0</v>
      </c>
      <c r="E47" s="87">
        <f>Hovedskema!F96</f>
        <v>0</v>
      </c>
      <c r="F47" s="120">
        <f>Hovedskema!G96</f>
        <v>0</v>
      </c>
    </row>
    <row r="48" spans="1:6">
      <c r="A48" s="835">
        <f t="shared" si="0"/>
        <v>29</v>
      </c>
      <c r="B48" s="102" t="str">
        <f>Hovedskema!C97</f>
        <v>OMSÆTNINGSAKTIVER I ALT:</v>
      </c>
      <c r="C48" s="95">
        <f>Hovedskema!D97</f>
        <v>0</v>
      </c>
      <c r="D48" s="95">
        <f>Hovedskema!E97</f>
        <v>0</v>
      </c>
      <c r="E48" s="95">
        <f>Hovedskema!F97</f>
        <v>0</v>
      </c>
      <c r="F48" s="129">
        <f>Hovedskema!G97</f>
        <v>0</v>
      </c>
    </row>
    <row r="49" spans="1:6">
      <c r="A49" s="835">
        <f t="shared" si="0"/>
        <v>30</v>
      </c>
      <c r="B49" s="102" t="str">
        <f>Hovedskema!C98</f>
        <v>AKTIVER I ALT:</v>
      </c>
      <c r="C49" s="95">
        <f>Hovedskema!D98</f>
        <v>0</v>
      </c>
      <c r="D49" s="95">
        <f>Hovedskema!E98</f>
        <v>0</v>
      </c>
      <c r="E49" s="95">
        <f>Hovedskema!F98</f>
        <v>0</v>
      </c>
      <c r="F49" s="129">
        <f>Hovedskema!G98</f>
        <v>0</v>
      </c>
    </row>
    <row r="50" spans="1:6">
      <c r="A50" s="835">
        <f t="shared" si="0"/>
        <v>31</v>
      </c>
      <c r="B50" s="102" t="str">
        <f>Hovedskema!C99</f>
        <v xml:space="preserve">EGENKAPITAL 31/12 </v>
      </c>
      <c r="C50" s="95">
        <f>Hovedskema!D99</f>
        <v>0</v>
      </c>
      <c r="D50" s="95">
        <f>Hovedskema!E99</f>
        <v>0</v>
      </c>
      <c r="E50" s="95">
        <f>Hovedskema!F99</f>
        <v>126676</v>
      </c>
      <c r="F50" s="129">
        <f>Hovedskema!G99</f>
        <v>253214.495</v>
      </c>
    </row>
    <row r="51" spans="1:6">
      <c r="A51" s="835">
        <f t="shared" si="0"/>
        <v>32</v>
      </c>
      <c r="B51" s="43" t="str">
        <f>Hovedskema!C100</f>
        <v>Langfristet gæld</v>
      </c>
      <c r="C51" s="87">
        <f>Hovedskema!D100</f>
        <v>0</v>
      </c>
      <c r="D51" s="87">
        <f>Hovedskema!E100</f>
        <v>0</v>
      </c>
      <c r="E51" s="87">
        <f>Hovedskema!F100</f>
        <v>0</v>
      </c>
      <c r="F51" s="120">
        <f>Hovedskema!G100</f>
        <v>0</v>
      </c>
    </row>
    <row r="52" spans="1:6">
      <c r="A52" s="835">
        <f t="shared" si="0"/>
        <v>33</v>
      </c>
      <c r="B52" s="43" t="str">
        <f>Hovedskema!C101</f>
        <v>Kortfristet gæld</v>
      </c>
      <c r="C52" s="87">
        <f>Hovedskema!D101</f>
        <v>0</v>
      </c>
      <c r="D52" s="87">
        <f>Hovedskema!E101</f>
        <v>0</v>
      </c>
      <c r="E52" s="87">
        <f>Hovedskema!F101</f>
        <v>0</v>
      </c>
      <c r="F52" s="120">
        <f>Hovedskema!G101</f>
        <v>0</v>
      </c>
    </row>
    <row r="53" spans="1:6">
      <c r="A53" s="130" t="s">
        <v>1067</v>
      </c>
      <c r="B53" s="43" t="str">
        <f>Hovedskema!C102</f>
        <v>Kassekredit   (del af kortfristet gæld)</v>
      </c>
      <c r="C53" s="87">
        <f>Hovedskema!D102</f>
        <v>0</v>
      </c>
      <c r="D53" s="87">
        <f>Hovedskema!E102</f>
        <v>0</v>
      </c>
      <c r="E53" s="87">
        <f>Hovedskema!F102</f>
        <v>-126676</v>
      </c>
      <c r="F53" s="120">
        <f>Hovedskema!G102</f>
        <v>-253214.495</v>
      </c>
    </row>
    <row r="54" spans="1:6">
      <c r="A54" s="835">
        <f>A52+1</f>
        <v>34</v>
      </c>
      <c r="B54" s="43" t="str">
        <f>Hovedskema!C104</f>
        <v>Forud modtagne indtægter (del af kortfr. gæld)</v>
      </c>
      <c r="C54" s="87">
        <f>Hovedskema!D104</f>
        <v>0</v>
      </c>
      <c r="D54" s="87">
        <f>Hovedskema!E104</f>
        <v>0</v>
      </c>
      <c r="E54" s="87">
        <f>Hovedskema!F104</f>
        <v>0</v>
      </c>
      <c r="F54" s="120">
        <f>Hovedskema!G104</f>
        <v>0</v>
      </c>
    </row>
    <row r="55" spans="1:6">
      <c r="A55" s="835">
        <f>A54+1</f>
        <v>35</v>
      </c>
      <c r="B55" s="43" t="str">
        <f>Hovedskema!C105</f>
        <v>Gæld i alt</v>
      </c>
      <c r="C55" s="87">
        <f>Hovedskema!D105</f>
        <v>0</v>
      </c>
      <c r="D55" s="87">
        <f>Hovedskema!E105</f>
        <v>0</v>
      </c>
      <c r="E55" s="87">
        <f>Hovedskema!F105</f>
        <v>-126676</v>
      </c>
      <c r="F55" s="120">
        <f>Hovedskema!G105</f>
        <v>-253214.495</v>
      </c>
    </row>
    <row r="56" spans="1:6">
      <c r="A56" s="835">
        <f t="shared" si="0"/>
        <v>36</v>
      </c>
      <c r="B56" s="102" t="str">
        <f>Hovedskema!C106</f>
        <v>PASSIVER I ALT:</v>
      </c>
      <c r="C56" s="95">
        <f>Hovedskema!D106</f>
        <v>0</v>
      </c>
      <c r="D56" s="95">
        <f>Hovedskema!E106</f>
        <v>0</v>
      </c>
      <c r="E56" s="95">
        <f>Hovedskema!F106</f>
        <v>0</v>
      </c>
      <c r="F56" s="129">
        <f>Hovedskema!G106</f>
        <v>0</v>
      </c>
    </row>
    <row r="57" spans="1:6">
      <c r="A57" s="835"/>
      <c r="B57" s="102" t="str">
        <f>Hovedskema!C107</f>
        <v>LIKVIDITET:</v>
      </c>
      <c r="C57" s="95"/>
      <c r="D57" s="95"/>
      <c r="E57" s="95"/>
      <c r="F57" s="129"/>
    </row>
    <row r="58" spans="1:6">
      <c r="A58" s="131"/>
      <c r="F58" s="132"/>
    </row>
    <row r="59" spans="1:6">
      <c r="A59" s="131"/>
      <c r="F59" s="132"/>
    </row>
    <row r="60" spans="1:6">
      <c r="A60" s="131"/>
      <c r="F60" s="132"/>
    </row>
    <row r="61" spans="1:6" ht="16">
      <c r="A61" s="133" t="str">
        <f>"Budgetopstilling for børnehaven  "&amp;budgetår&amp;" :"</f>
        <v>Budgetopstilling for børnehaven  2026 :</v>
      </c>
      <c r="B61" s="134"/>
      <c r="C61" s="134"/>
      <c r="D61" s="134"/>
      <c r="E61" s="134"/>
      <c r="F61" s="132"/>
    </row>
    <row r="62" spans="1:6" ht="14" thickBot="1">
      <c r="A62" s="131"/>
      <c r="F62" s="132"/>
    </row>
    <row r="63" spans="1:6">
      <c r="A63" s="955" t="s">
        <v>1068</v>
      </c>
      <c r="B63" s="956"/>
      <c r="C63" s="957"/>
      <c r="D63" s="958" t="s">
        <v>1069</v>
      </c>
      <c r="E63" s="958" t="str">
        <f>"i alt "&amp;budgetår</f>
        <v>i alt 2026</v>
      </c>
      <c r="F63" s="959" t="str">
        <f>"i alt "&amp;budgetår+1</f>
        <v>i alt 2027</v>
      </c>
    </row>
    <row r="64" spans="1:6">
      <c r="A64" s="130"/>
      <c r="B64" s="43" t="s">
        <v>1070</v>
      </c>
      <c r="C64" s="43"/>
      <c r="D64" s="86" t="e">
        <f>SUM(Daginstitution!#REF!)</f>
        <v>#REF!</v>
      </c>
      <c r="E64" s="86" t="e">
        <f>D64*((Daginstitution!#REF!*7/12)+(Daginstitution!#REF!*5/12))</f>
        <v>#REF!</v>
      </c>
      <c r="F64" s="135" t="e">
        <f>D64*((Daginstitution!#REF!*7/12)+(Daginstitution!#REF!*5/12))</f>
        <v>#REF!</v>
      </c>
    </row>
    <row r="65" spans="1:10">
      <c r="A65" s="130"/>
      <c r="B65" s="43" t="s">
        <v>767</v>
      </c>
      <c r="C65" s="43"/>
      <c r="D65" s="86" t="e">
        <f>Daginstitution!#REF!</f>
        <v>#REF!</v>
      </c>
      <c r="E65" s="86" t="e">
        <f>D65*((Daginstitution!#REF!*7/12)+(Daginstitution!#REF!*5/12))</f>
        <v>#REF!</v>
      </c>
      <c r="F65" s="135" t="e">
        <f>D65*((Daginstitution!#REF!*7/12)+(Daginstitution!#REF!*5/12))</f>
        <v>#REF!</v>
      </c>
    </row>
    <row r="66" spans="1:10">
      <c r="A66" s="130"/>
      <c r="B66" s="43" t="s">
        <v>1071</v>
      </c>
      <c r="C66" s="43"/>
      <c r="D66" s="86" t="e">
        <f>Daginstitution!#REF!</f>
        <v>#REF!</v>
      </c>
      <c r="E66" s="86" t="e">
        <f>Daginstitution!#REF!</f>
        <v>#REF!</v>
      </c>
      <c r="F66" s="136"/>
    </row>
    <row r="67" spans="1:10">
      <c r="A67" s="130"/>
      <c r="B67" s="43" t="s">
        <v>1072</v>
      </c>
      <c r="C67" s="43"/>
      <c r="D67" s="86"/>
      <c r="E67" s="86"/>
      <c r="F67" s="136"/>
    </row>
    <row r="68" spans="1:10">
      <c r="A68" s="130"/>
      <c r="B68" s="43" t="s">
        <v>1073</v>
      </c>
      <c r="C68" s="43"/>
      <c r="D68" s="86" t="e">
        <f>Daginstitution!#REF!</f>
        <v>#REF!</v>
      </c>
      <c r="E68" s="86" t="e">
        <f>Daginstitution!#REF!</f>
        <v>#REF!</v>
      </c>
      <c r="F68" s="135" t="e">
        <f>E68*1.02</f>
        <v>#REF!</v>
      </c>
    </row>
    <row r="69" spans="1:10" ht="16">
      <c r="A69" s="137" t="str">
        <f>"Indtægter i alt "&amp;budgetår&amp;":"</f>
        <v>Indtægter i alt 2026:</v>
      </c>
      <c r="B69" s="91"/>
      <c r="C69" s="91"/>
      <c r="D69" s="92"/>
      <c r="E69" s="93"/>
      <c r="F69" s="138" t="e">
        <f>SUM(E64:E68)</f>
        <v>#REF!</v>
      </c>
    </row>
    <row r="70" spans="1:10">
      <c r="A70" s="130"/>
      <c r="B70" s="43"/>
      <c r="C70" s="43"/>
      <c r="D70" s="85"/>
      <c r="E70" s="85"/>
      <c r="F70" s="139"/>
    </row>
    <row r="71" spans="1:10">
      <c r="A71" s="774" t="s">
        <v>1074</v>
      </c>
      <c r="B71" s="43"/>
      <c r="C71" s="43"/>
      <c r="D71" s="85"/>
      <c r="E71" s="85"/>
      <c r="F71" s="139"/>
    </row>
    <row r="72" spans="1:10">
      <c r="A72" s="130"/>
      <c r="B72" s="43" t="s">
        <v>1075</v>
      </c>
      <c r="C72" s="43"/>
      <c r="D72" s="87" t="e">
        <f>'Lon pæd., TAP mm'!AZ351+'Lon pæd., TAP mm'!#REF!</f>
        <v>#REF!</v>
      </c>
      <c r="E72" s="85"/>
      <c r="F72" s="139"/>
    </row>
    <row r="73" spans="1:10">
      <c r="A73" s="130"/>
      <c r="B73" s="43" t="s">
        <v>793</v>
      </c>
      <c r="C73" s="43"/>
      <c r="D73" s="87">
        <f>'Lon pæd., TAP mm'!BA89</f>
        <v>0</v>
      </c>
      <c r="E73" s="85"/>
      <c r="F73" s="139"/>
    </row>
    <row r="74" spans="1:10">
      <c r="A74" s="130"/>
      <c r="B74" s="43" t="s">
        <v>1076</v>
      </c>
      <c r="C74" s="43"/>
      <c r="D74" s="87">
        <f>'Lon pæd., TAP mm'!BA70</f>
        <v>0</v>
      </c>
      <c r="E74" s="85"/>
      <c r="F74" s="139"/>
    </row>
    <row r="75" spans="1:10">
      <c r="A75" s="130"/>
      <c r="B75" s="88"/>
      <c r="C75" s="43"/>
      <c r="D75" s="87"/>
      <c r="E75" s="85"/>
      <c r="F75" s="139"/>
    </row>
    <row r="76" spans="1:10">
      <c r="A76" s="130"/>
      <c r="B76" s="103" t="s">
        <v>1077</v>
      </c>
      <c r="C76" s="102"/>
      <c r="D76" s="95"/>
      <c r="E76" s="2049" t="e">
        <f>SUM(D72:D75)</f>
        <v>#REF!</v>
      </c>
      <c r="F76" s="140"/>
    </row>
    <row r="77" spans="1:10">
      <c r="A77" s="130"/>
      <c r="B77" s="88" t="s">
        <v>863</v>
      </c>
      <c r="C77" s="43"/>
      <c r="D77" s="89"/>
      <c r="E77" s="90"/>
      <c r="F77" s="140"/>
    </row>
    <row r="78" spans="1:10">
      <c r="A78" s="130"/>
      <c r="B78" s="43" t="s">
        <v>1078</v>
      </c>
      <c r="C78" s="43"/>
      <c r="D78" s="90">
        <f>Daginstitution!F125</f>
        <v>0</v>
      </c>
      <c r="E78" s="90"/>
      <c r="F78" s="140"/>
      <c r="J78" s="1"/>
    </row>
    <row r="79" spans="1:10">
      <c r="A79" s="130"/>
      <c r="B79" s="88"/>
      <c r="C79" s="43"/>
      <c r="D79" s="90"/>
      <c r="E79" s="90"/>
      <c r="F79" s="140"/>
      <c r="J79" s="1"/>
    </row>
    <row r="80" spans="1:10">
      <c r="A80" s="130"/>
      <c r="B80" s="88" t="s">
        <v>1079</v>
      </c>
      <c r="C80" s="43"/>
      <c r="D80" s="90" t="e">
        <f>Daginstitution!#REF!</f>
        <v>#REF!</v>
      </c>
      <c r="E80" s="90"/>
      <c r="F80" s="140"/>
    </row>
    <row r="81" spans="1:6">
      <c r="A81" s="130"/>
      <c r="B81" s="88"/>
      <c r="C81" s="43"/>
      <c r="D81" s="90"/>
      <c r="E81" s="90"/>
      <c r="F81" s="140"/>
    </row>
    <row r="82" spans="1:6">
      <c r="A82" s="130"/>
      <c r="B82" s="43" t="s">
        <v>847</v>
      </c>
      <c r="C82" s="43"/>
      <c r="D82" s="90" t="e">
        <f>Daginstitution!#REF!</f>
        <v>#REF!</v>
      </c>
      <c r="E82" s="90"/>
      <c r="F82" s="140"/>
    </row>
    <row r="83" spans="1:6">
      <c r="A83" s="130"/>
      <c r="B83" s="43"/>
      <c r="C83" s="43"/>
      <c r="D83" s="90"/>
      <c r="E83" s="86"/>
      <c r="F83" s="140"/>
    </row>
    <row r="84" spans="1:6">
      <c r="A84" s="130"/>
      <c r="B84" s="43"/>
      <c r="C84" s="43"/>
      <c r="D84" s="90"/>
      <c r="E84" s="86"/>
      <c r="F84" s="140"/>
    </row>
    <row r="85" spans="1:6">
      <c r="A85" s="130"/>
      <c r="B85" s="43" t="s">
        <v>1080</v>
      </c>
      <c r="C85" s="43"/>
      <c r="D85" s="90">
        <f>Daginstitution!F192</f>
        <v>0</v>
      </c>
      <c r="E85" s="90"/>
      <c r="F85" s="140"/>
    </row>
    <row r="86" spans="1:6">
      <c r="A86" s="130"/>
      <c r="B86" s="43"/>
      <c r="C86" s="43"/>
      <c r="D86" s="90"/>
      <c r="E86" s="86"/>
      <c r="F86" s="140"/>
    </row>
    <row r="87" spans="1:6">
      <c r="A87" s="130"/>
      <c r="B87" s="43" t="s">
        <v>571</v>
      </c>
      <c r="C87" s="43"/>
      <c r="D87" s="90">
        <f>Daginstitution!F204</f>
        <v>0</v>
      </c>
      <c r="E87" s="90"/>
      <c r="F87" s="140"/>
    </row>
    <row r="88" spans="1:6">
      <c r="A88" s="130"/>
      <c r="B88" s="88"/>
      <c r="C88" s="43"/>
      <c r="D88" s="90"/>
      <c r="E88" s="90"/>
      <c r="F88" s="140"/>
    </row>
    <row r="89" spans="1:6">
      <c r="A89" s="130"/>
      <c r="B89" s="43" t="s">
        <v>868</v>
      </c>
      <c r="C89" s="43"/>
      <c r="D89" s="90">
        <f>Daginstitution!F198</f>
        <v>0</v>
      </c>
      <c r="E89" s="90"/>
      <c r="F89" s="140"/>
    </row>
    <row r="90" spans="1:6">
      <c r="A90" s="130"/>
      <c r="B90" s="103" t="s">
        <v>1081</v>
      </c>
      <c r="C90" s="102"/>
      <c r="D90" s="95"/>
      <c r="E90" s="2049" t="e">
        <f>SUM(D78:D89)</f>
        <v>#REF!</v>
      </c>
      <c r="F90" s="140"/>
    </row>
    <row r="91" spans="1:6" ht="16">
      <c r="A91" s="137" t="s">
        <v>1082</v>
      </c>
      <c r="B91" s="91"/>
      <c r="C91" s="91"/>
      <c r="D91" s="94"/>
      <c r="E91" s="93"/>
      <c r="F91" s="138" t="e">
        <f>SUM(E76:E90)</f>
        <v>#REF!</v>
      </c>
    </row>
    <row r="92" spans="1:6">
      <c r="A92" s="130"/>
      <c r="B92" s="43"/>
      <c r="C92" s="43"/>
      <c r="D92" s="85"/>
      <c r="E92" s="86"/>
      <c r="F92" s="140"/>
    </row>
    <row r="93" spans="1:6" ht="17" thickBot="1">
      <c r="A93" s="3458" t="s">
        <v>1083</v>
      </c>
      <c r="B93" s="3459"/>
      <c r="C93" s="911"/>
      <c r="D93" s="960"/>
      <c r="E93" s="917"/>
      <c r="F93" s="961" t="e">
        <f>F69-F91</f>
        <v>#REF!</v>
      </c>
    </row>
    <row r="94" spans="1:6" ht="14" thickBot="1">
      <c r="A94" s="2050"/>
      <c r="B94" s="900"/>
      <c r="C94" s="900"/>
      <c r="D94" s="900"/>
      <c r="E94" s="900"/>
      <c r="F94" s="962"/>
    </row>
  </sheetData>
  <sheetProtection selectLockedCells="1"/>
  <mergeCells count="2">
    <mergeCell ref="A93:B93"/>
    <mergeCell ref="A2:F2"/>
  </mergeCells>
  <phoneticPr fontId="55" type="noConversion"/>
  <printOptions horizontalCentered="1" verticalCentered="1"/>
  <pageMargins left="0.78740157480314965" right="0.6692913385826772" top="0.98425196850393704" bottom="0.82677165354330717" header="0.51181102362204722" footer="0.51181102362204722"/>
  <pageSetup paperSize="9" scale="74" fitToHeight="0" orientation="portrait"/>
  <headerFooter alignWithMargins="0">
    <oddHeader>&amp;C&amp;"Arial,Fed"&amp;12RESULTATOPGØRELSE</oddHeader>
    <oddFooter>&amp;L&amp;G&amp;R
&amp;D
&amp;A</oddFooter>
  </headerFooter>
  <rowBreaks count="1" manualBreakCount="1">
    <brk id="57" max="16383" man="1"/>
  </rowBreaks>
  <drawing r:id="rId1"/>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12AF3-9BD9-8646-8CD8-7044FDBF6030}">
  <sheetPr>
    <tabColor rgb="FFFFFF00"/>
  </sheetPr>
  <dimension ref="A1:J18"/>
  <sheetViews>
    <sheetView workbookViewId="0">
      <selection activeCell="A17" sqref="A17"/>
    </sheetView>
  </sheetViews>
  <sheetFormatPr baseColWidth="10" defaultColWidth="11.5" defaultRowHeight="13"/>
  <sheetData>
    <row r="1" spans="1:10" ht="20">
      <c r="A1" s="2752" t="s">
        <v>13</v>
      </c>
      <c r="B1" s="2753"/>
      <c r="C1" s="2753"/>
      <c r="D1" s="2753"/>
      <c r="E1" s="2753"/>
      <c r="F1" s="2753"/>
      <c r="G1" s="2753"/>
      <c r="H1" s="2753"/>
      <c r="I1" s="2753"/>
      <c r="J1" s="2754"/>
    </row>
    <row r="2" spans="1:10" ht="16">
      <c r="A2" s="839" t="s">
        <v>1493</v>
      </c>
      <c r="B2" s="757"/>
      <c r="C2" s="757"/>
      <c r="D2" s="757"/>
      <c r="E2" s="757"/>
      <c r="F2" s="757"/>
      <c r="G2" s="757"/>
      <c r="H2" s="757"/>
      <c r="I2" s="757"/>
      <c r="J2" s="758"/>
    </row>
    <row r="3" spans="1:10" ht="44" customHeight="1">
      <c r="A3" s="840" t="s">
        <v>1494</v>
      </c>
      <c r="B3" s="757"/>
      <c r="C3" s="757"/>
      <c r="D3" s="757"/>
      <c r="E3" s="757"/>
      <c r="F3" s="757"/>
      <c r="G3" s="757"/>
      <c r="H3" s="757"/>
      <c r="I3" s="757"/>
      <c r="J3" s="758"/>
    </row>
    <row r="4" spans="1:10" ht="33" customHeight="1">
      <c r="A4" s="2755" t="s">
        <v>1495</v>
      </c>
      <c r="B4" s="2756"/>
      <c r="C4" s="2756"/>
      <c r="D4" s="2756"/>
      <c r="E4" s="2756"/>
      <c r="F4" s="2756"/>
      <c r="G4" s="2756"/>
      <c r="H4" s="2756"/>
      <c r="I4" s="2756"/>
      <c r="J4" s="2757"/>
    </row>
    <row r="5" spans="1:10" ht="44" customHeight="1">
      <c r="A5" s="840" t="s">
        <v>21</v>
      </c>
      <c r="B5" s="757"/>
      <c r="C5" s="757"/>
      <c r="D5" s="757"/>
      <c r="E5" s="757"/>
      <c r="F5" s="757"/>
      <c r="G5" s="757"/>
      <c r="H5" s="757"/>
      <c r="I5" s="757"/>
      <c r="J5" s="758"/>
    </row>
    <row r="6" spans="1:10" ht="33" customHeight="1">
      <c r="A6" s="2755" t="s">
        <v>1496</v>
      </c>
      <c r="B6" s="2756"/>
      <c r="C6" s="2756"/>
      <c r="D6" s="2756"/>
      <c r="E6" s="2756"/>
      <c r="F6" s="2756"/>
      <c r="G6" s="2756"/>
      <c r="H6" s="2756"/>
      <c r="I6" s="2756"/>
      <c r="J6" s="2757"/>
    </row>
    <row r="7" spans="1:10" ht="44" customHeight="1">
      <c r="A7" s="840" t="s">
        <v>1497</v>
      </c>
      <c r="B7" s="757"/>
      <c r="C7" s="757"/>
      <c r="D7" s="757"/>
      <c r="E7" s="757"/>
      <c r="F7" s="757"/>
      <c r="G7" s="757"/>
      <c r="H7" s="757"/>
      <c r="I7" s="757"/>
      <c r="J7" s="758"/>
    </row>
    <row r="8" spans="1:10" ht="53" customHeight="1">
      <c r="A8" s="2755" t="s">
        <v>1498</v>
      </c>
      <c r="B8" s="2756"/>
      <c r="C8" s="2756"/>
      <c r="D8" s="2756"/>
      <c r="E8" s="2756"/>
      <c r="F8" s="2756"/>
      <c r="G8" s="2756"/>
      <c r="H8" s="2756"/>
      <c r="I8" s="2756"/>
      <c r="J8" s="2757"/>
    </row>
    <row r="9" spans="1:10" ht="38" customHeight="1">
      <c r="A9" s="2758" t="s">
        <v>1499</v>
      </c>
      <c r="B9" s="2759"/>
      <c r="C9" s="2759"/>
      <c r="D9" s="2759"/>
      <c r="E9" s="2759"/>
      <c r="F9" s="2759"/>
      <c r="G9" s="2759"/>
      <c r="H9" s="2759"/>
      <c r="I9" s="2759"/>
      <c r="J9" s="2760"/>
    </row>
    <row r="10" spans="1:10" ht="37" customHeight="1" thickBot="1">
      <c r="A10" s="2761" t="s">
        <v>1500</v>
      </c>
      <c r="B10" s="2762"/>
      <c r="C10" s="2762"/>
      <c r="D10" s="2762"/>
      <c r="E10" s="2762"/>
      <c r="F10" s="2762"/>
      <c r="G10" s="2762"/>
      <c r="H10" s="2762"/>
      <c r="I10" s="2762"/>
      <c r="J10" s="2763"/>
    </row>
    <row r="11" spans="1:10" ht="31" customHeight="1">
      <c r="A11" s="2749" t="s">
        <v>14</v>
      </c>
      <c r="B11" s="2750"/>
      <c r="C11" s="2750"/>
      <c r="D11" s="2750"/>
      <c r="E11" s="2750"/>
      <c r="F11" s="2750"/>
      <c r="G11" s="2750"/>
      <c r="H11" s="2750"/>
      <c r="I11" s="2750"/>
      <c r="J11" s="2751"/>
    </row>
    <row r="12" spans="1:10" ht="71" customHeight="1">
      <c r="A12" s="2740" t="s">
        <v>1501</v>
      </c>
      <c r="B12" s="2741"/>
      <c r="C12" s="2741"/>
      <c r="D12" s="2741"/>
      <c r="E12" s="2741"/>
      <c r="F12" s="2741"/>
      <c r="G12" s="2741"/>
      <c r="H12" s="2741"/>
      <c r="I12" s="2741"/>
      <c r="J12" s="2742"/>
    </row>
    <row r="13" spans="1:10" ht="67" customHeight="1">
      <c r="A13" s="2740" t="s">
        <v>1502</v>
      </c>
      <c r="B13" s="2741"/>
      <c r="C13" s="2741"/>
      <c r="D13" s="2741"/>
      <c r="E13" s="2741"/>
      <c r="F13" s="2741"/>
      <c r="G13" s="2741"/>
      <c r="H13" s="2741"/>
      <c r="I13" s="2741"/>
      <c r="J13" s="2742"/>
    </row>
    <row r="14" spans="1:10" ht="17" customHeight="1">
      <c r="A14" s="841" t="s">
        <v>15</v>
      </c>
      <c r="B14" s="662"/>
      <c r="C14" s="662"/>
      <c r="D14" s="662"/>
      <c r="E14" s="662"/>
      <c r="F14" s="662"/>
      <c r="G14" s="662"/>
      <c r="H14" s="662"/>
      <c r="I14" s="662"/>
      <c r="J14" s="663"/>
    </row>
    <row r="15" spans="1:10" ht="18" customHeight="1">
      <c r="A15" s="842" t="s">
        <v>16</v>
      </c>
      <c r="B15" s="662"/>
      <c r="C15" s="662"/>
      <c r="D15" s="662"/>
      <c r="E15" s="662"/>
      <c r="F15" s="662"/>
      <c r="G15" s="662"/>
      <c r="H15" s="662"/>
      <c r="I15" s="662"/>
      <c r="J15" s="663"/>
    </row>
    <row r="16" spans="1:10" ht="89" customHeight="1">
      <c r="A16" s="2743" t="s">
        <v>1503</v>
      </c>
      <c r="B16" s="2744"/>
      <c r="C16" s="2744"/>
      <c r="D16" s="2744"/>
      <c r="E16" s="2744"/>
      <c r="F16" s="2744"/>
      <c r="G16" s="2744"/>
      <c r="H16" s="2744"/>
      <c r="I16" s="2744"/>
      <c r="J16" s="2745"/>
    </row>
    <row r="17" spans="1:10" ht="22" customHeight="1">
      <c r="A17" s="843" t="s">
        <v>17</v>
      </c>
      <c r="B17" s="662"/>
      <c r="C17" s="662"/>
      <c r="D17" s="662"/>
      <c r="E17" s="662"/>
      <c r="F17" s="662"/>
      <c r="G17" s="662"/>
      <c r="H17" s="662"/>
      <c r="I17" s="662"/>
      <c r="J17" s="663"/>
    </row>
    <row r="18" spans="1:10" s="319" customFormat="1" ht="36" customHeight="1" thickBot="1">
      <c r="A18" s="2746" t="s">
        <v>18</v>
      </c>
      <c r="B18" s="2747"/>
      <c r="C18" s="2747"/>
      <c r="D18" s="2747"/>
      <c r="E18" s="2747"/>
      <c r="F18" s="2747"/>
      <c r="G18" s="2747"/>
      <c r="H18" s="2747"/>
      <c r="I18" s="2747"/>
      <c r="J18" s="2748"/>
    </row>
  </sheetData>
  <sheetProtection sheet="1" objects="1" scenarios="1"/>
  <mergeCells count="11">
    <mergeCell ref="A1:J1"/>
    <mergeCell ref="A4:J4"/>
    <mergeCell ref="A9:J9"/>
    <mergeCell ref="A10:J10"/>
    <mergeCell ref="A6:J6"/>
    <mergeCell ref="A8:J8"/>
    <mergeCell ref="A13:J13"/>
    <mergeCell ref="A16:J16"/>
    <mergeCell ref="A18:J18"/>
    <mergeCell ref="A11:J11"/>
    <mergeCell ref="A12:J12"/>
  </mergeCells>
  <pageMargins left="0.7" right="0.7" top="0.75" bottom="0.75" header="0.3" footer="0.3"/>
  <pageSetup paperSize="9" orientation="portrait" horizontalDpi="0" verticalDpi="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0000"/>
    <pageSetUpPr fitToPage="1"/>
  </sheetPr>
  <dimension ref="A1:N273"/>
  <sheetViews>
    <sheetView showFormulas="1" showGridLines="0" topLeftCell="A40" workbookViewId="0">
      <selection activeCell="A45" sqref="A45:XFD45"/>
    </sheetView>
  </sheetViews>
  <sheetFormatPr baseColWidth="10" defaultColWidth="12.1640625" defaultRowHeight="16"/>
  <cols>
    <col min="1" max="6" width="12.1640625" style="141"/>
    <col min="7" max="7" width="14.1640625" style="141" customWidth="1"/>
    <col min="8" max="9" width="12.1640625" style="141"/>
    <col min="10" max="10" width="7.1640625" style="141" bestFit="1" customWidth="1"/>
    <col min="11" max="11" width="10.1640625" style="141" bestFit="1" customWidth="1"/>
    <col min="12" max="12" width="34" style="141" bestFit="1" customWidth="1"/>
    <col min="13" max="14" width="10.83203125" style="141" bestFit="1" customWidth="1"/>
    <col min="15" max="260" width="12.1640625" style="141"/>
    <col min="261" max="261" width="14.1640625" style="141" customWidth="1"/>
    <col min="262" max="516" width="12.1640625" style="141"/>
    <col min="517" max="517" width="14.1640625" style="141" customWidth="1"/>
    <col min="518" max="772" width="12.1640625" style="141"/>
    <col min="773" max="773" width="14.1640625" style="141" customWidth="1"/>
    <col min="774" max="1028" width="12.1640625" style="141"/>
    <col min="1029" max="1029" width="14.1640625" style="141" customWidth="1"/>
    <col min="1030" max="1284" width="12.1640625" style="141"/>
    <col min="1285" max="1285" width="14.1640625" style="141" customWidth="1"/>
    <col min="1286" max="1540" width="12.1640625" style="141"/>
    <col min="1541" max="1541" width="14.1640625" style="141" customWidth="1"/>
    <col min="1542" max="1796" width="12.1640625" style="141"/>
    <col min="1797" max="1797" width="14.1640625" style="141" customWidth="1"/>
    <col min="1798" max="2052" width="12.1640625" style="141"/>
    <col min="2053" max="2053" width="14.1640625" style="141" customWidth="1"/>
    <col min="2054" max="2308" width="12.1640625" style="141"/>
    <col min="2309" max="2309" width="14.1640625" style="141" customWidth="1"/>
    <col min="2310" max="2564" width="12.1640625" style="141"/>
    <col min="2565" max="2565" width="14.1640625" style="141" customWidth="1"/>
    <col min="2566" max="2820" width="12.1640625" style="141"/>
    <col min="2821" max="2821" width="14.1640625" style="141" customWidth="1"/>
    <col min="2822" max="3076" width="12.1640625" style="141"/>
    <col min="3077" max="3077" width="14.1640625" style="141" customWidth="1"/>
    <col min="3078" max="3332" width="12.1640625" style="141"/>
    <col min="3333" max="3333" width="14.1640625" style="141" customWidth="1"/>
    <col min="3334" max="3588" width="12.1640625" style="141"/>
    <col min="3589" max="3589" width="14.1640625" style="141" customWidth="1"/>
    <col min="3590" max="3844" width="12.1640625" style="141"/>
    <col min="3845" max="3845" width="14.1640625" style="141" customWidth="1"/>
    <col min="3846" max="4100" width="12.1640625" style="141"/>
    <col min="4101" max="4101" width="14.1640625" style="141" customWidth="1"/>
    <col min="4102" max="4356" width="12.1640625" style="141"/>
    <col min="4357" max="4357" width="14.1640625" style="141" customWidth="1"/>
    <col min="4358" max="4612" width="12.1640625" style="141"/>
    <col min="4613" max="4613" width="14.1640625" style="141" customWidth="1"/>
    <col min="4614" max="4868" width="12.1640625" style="141"/>
    <col min="4869" max="4869" width="14.1640625" style="141" customWidth="1"/>
    <col min="4870" max="5124" width="12.1640625" style="141"/>
    <col min="5125" max="5125" width="14.1640625" style="141" customWidth="1"/>
    <col min="5126" max="5380" width="12.1640625" style="141"/>
    <col min="5381" max="5381" width="14.1640625" style="141" customWidth="1"/>
    <col min="5382" max="5636" width="12.1640625" style="141"/>
    <col min="5637" max="5637" width="14.1640625" style="141" customWidth="1"/>
    <col min="5638" max="5892" width="12.1640625" style="141"/>
    <col min="5893" max="5893" width="14.1640625" style="141" customWidth="1"/>
    <col min="5894" max="6148" width="12.1640625" style="141"/>
    <col min="6149" max="6149" width="14.1640625" style="141" customWidth="1"/>
    <col min="6150" max="6404" width="12.1640625" style="141"/>
    <col min="6405" max="6405" width="14.1640625" style="141" customWidth="1"/>
    <col min="6406" max="6660" width="12.1640625" style="141"/>
    <col min="6661" max="6661" width="14.1640625" style="141" customWidth="1"/>
    <col min="6662" max="6916" width="12.1640625" style="141"/>
    <col min="6917" max="6917" width="14.1640625" style="141" customWidth="1"/>
    <col min="6918" max="7172" width="12.1640625" style="141"/>
    <col min="7173" max="7173" width="14.1640625" style="141" customWidth="1"/>
    <col min="7174" max="7428" width="12.1640625" style="141"/>
    <col min="7429" max="7429" width="14.1640625" style="141" customWidth="1"/>
    <col min="7430" max="7684" width="12.1640625" style="141"/>
    <col min="7685" max="7685" width="14.1640625" style="141" customWidth="1"/>
    <col min="7686" max="7940" width="12.1640625" style="141"/>
    <col min="7941" max="7941" width="14.1640625" style="141" customWidth="1"/>
    <col min="7942" max="8196" width="12.1640625" style="141"/>
    <col min="8197" max="8197" width="14.1640625" style="141" customWidth="1"/>
    <col min="8198" max="8452" width="12.1640625" style="141"/>
    <col min="8453" max="8453" width="14.1640625" style="141" customWidth="1"/>
    <col min="8454" max="8708" width="12.1640625" style="141"/>
    <col min="8709" max="8709" width="14.1640625" style="141" customWidth="1"/>
    <col min="8710" max="8964" width="12.1640625" style="141"/>
    <col min="8965" max="8965" width="14.1640625" style="141" customWidth="1"/>
    <col min="8966" max="9220" width="12.1640625" style="141"/>
    <col min="9221" max="9221" width="14.1640625" style="141" customWidth="1"/>
    <col min="9222" max="9476" width="12.1640625" style="141"/>
    <col min="9477" max="9477" width="14.1640625" style="141" customWidth="1"/>
    <col min="9478" max="9732" width="12.1640625" style="141"/>
    <col min="9733" max="9733" width="14.1640625" style="141" customWidth="1"/>
    <col min="9734" max="9988" width="12.1640625" style="141"/>
    <col min="9989" max="9989" width="14.1640625" style="141" customWidth="1"/>
    <col min="9990" max="10244" width="12.1640625" style="141"/>
    <col min="10245" max="10245" width="14.1640625" style="141" customWidth="1"/>
    <col min="10246" max="10500" width="12.1640625" style="141"/>
    <col min="10501" max="10501" width="14.1640625" style="141" customWidth="1"/>
    <col min="10502" max="10756" width="12.1640625" style="141"/>
    <col min="10757" max="10757" width="14.1640625" style="141" customWidth="1"/>
    <col min="10758" max="11012" width="12.1640625" style="141"/>
    <col min="11013" max="11013" width="14.1640625" style="141" customWidth="1"/>
    <col min="11014" max="11268" width="12.1640625" style="141"/>
    <col min="11269" max="11269" width="14.1640625" style="141" customWidth="1"/>
    <col min="11270" max="11524" width="12.1640625" style="141"/>
    <col min="11525" max="11525" width="14.1640625" style="141" customWidth="1"/>
    <col min="11526" max="11780" width="12.1640625" style="141"/>
    <col min="11781" max="11781" width="14.1640625" style="141" customWidth="1"/>
    <col min="11782" max="12036" width="12.1640625" style="141"/>
    <col min="12037" max="12037" width="14.1640625" style="141" customWidth="1"/>
    <col min="12038" max="12292" width="12.1640625" style="141"/>
    <col min="12293" max="12293" width="14.1640625" style="141" customWidth="1"/>
    <col min="12294" max="12548" width="12.1640625" style="141"/>
    <col min="12549" max="12549" width="14.1640625" style="141" customWidth="1"/>
    <col min="12550" max="12804" width="12.1640625" style="141"/>
    <col min="12805" max="12805" width="14.1640625" style="141" customWidth="1"/>
    <col min="12806" max="13060" width="12.1640625" style="141"/>
    <col min="13061" max="13061" width="14.1640625" style="141" customWidth="1"/>
    <col min="13062" max="13316" width="12.1640625" style="141"/>
    <col min="13317" max="13317" width="14.1640625" style="141" customWidth="1"/>
    <col min="13318" max="13572" width="12.1640625" style="141"/>
    <col min="13573" max="13573" width="14.1640625" style="141" customWidth="1"/>
    <col min="13574" max="13828" width="12.1640625" style="141"/>
    <col min="13829" max="13829" width="14.1640625" style="141" customWidth="1"/>
    <col min="13830" max="14084" width="12.1640625" style="141"/>
    <col min="14085" max="14085" width="14.1640625" style="141" customWidth="1"/>
    <col min="14086" max="14340" width="12.1640625" style="141"/>
    <col min="14341" max="14341" width="14.1640625" style="141" customWidth="1"/>
    <col min="14342" max="14596" width="12.1640625" style="141"/>
    <col min="14597" max="14597" width="14.1640625" style="141" customWidth="1"/>
    <col min="14598" max="14852" width="12.1640625" style="141"/>
    <col min="14853" max="14853" width="14.1640625" style="141" customWidth="1"/>
    <col min="14854" max="15108" width="12.1640625" style="141"/>
    <col min="15109" max="15109" width="14.1640625" style="141" customWidth="1"/>
    <col min="15110" max="15364" width="12.1640625" style="141"/>
    <col min="15365" max="15365" width="14.1640625" style="141" customWidth="1"/>
    <col min="15366" max="15620" width="12.1640625" style="141"/>
    <col min="15621" max="15621" width="14.1640625" style="141" customWidth="1"/>
    <col min="15622" max="15876" width="12.1640625" style="141"/>
    <col min="15877" max="15877" width="14.1640625" style="141" customWidth="1"/>
    <col min="15878" max="16132" width="12.1640625" style="141"/>
    <col min="16133" max="16133" width="14.1640625" style="141" customWidth="1"/>
    <col min="16134" max="16384" width="12.1640625" style="141"/>
  </cols>
  <sheetData>
    <row r="1" spans="1:14">
      <c r="A1" s="2051" t="s">
        <v>1084</v>
      </c>
      <c r="B1" s="2052"/>
      <c r="C1" s="2052"/>
      <c r="D1" s="2052"/>
      <c r="E1" s="2052"/>
      <c r="F1" s="2052"/>
      <c r="G1" s="2053"/>
      <c r="J1" s="2054" t="s">
        <v>1085</v>
      </c>
      <c r="K1" s="2055" t="s">
        <v>1086</v>
      </c>
      <c r="L1" s="2054" t="s">
        <v>1087</v>
      </c>
      <c r="M1" s="2056" t="s">
        <v>1088</v>
      </c>
      <c r="N1" s="2056" t="s">
        <v>1089</v>
      </c>
    </row>
    <row r="2" spans="1:14">
      <c r="A2" s="142"/>
      <c r="B2" s="143"/>
      <c r="C2" s="144"/>
      <c r="D2" s="145" t="s">
        <v>463</v>
      </c>
      <c r="E2" s="144"/>
      <c r="F2" s="146"/>
      <c r="G2" s="147"/>
      <c r="J2" s="2057"/>
      <c r="K2" s="2058"/>
      <c r="L2" s="2057"/>
      <c r="M2" s="2059" t="str">
        <f>""</f>
        <v/>
      </c>
      <c r="N2" s="2059" t="str">
        <f>""</f>
        <v/>
      </c>
    </row>
    <row r="3" spans="1:14">
      <c r="A3" s="2060" t="s">
        <v>1090</v>
      </c>
      <c r="B3" s="148" t="s">
        <v>1091</v>
      </c>
      <c r="C3" s="149" t="s">
        <v>1092</v>
      </c>
      <c r="D3" s="149" t="s">
        <v>1093</v>
      </c>
      <c r="E3" s="149" t="s">
        <v>1094</v>
      </c>
      <c r="F3" s="149" t="s">
        <v>1095</v>
      </c>
      <c r="G3" s="2061" t="s">
        <v>1096</v>
      </c>
      <c r="J3" s="2057">
        <v>101077</v>
      </c>
      <c r="K3" s="2058">
        <v>101</v>
      </c>
      <c r="L3" s="2057" t="s">
        <v>1097</v>
      </c>
      <c r="M3" s="2059" t="s">
        <v>385</v>
      </c>
      <c r="N3" s="2059">
        <v>1</v>
      </c>
    </row>
    <row r="4" spans="1:14">
      <c r="A4" s="150">
        <v>1</v>
      </c>
      <c r="B4" s="151">
        <v>184817</v>
      </c>
      <c r="C4" s="152">
        <v>188265</v>
      </c>
      <c r="D4" s="152">
        <v>190650</v>
      </c>
      <c r="E4" s="152">
        <v>194098</v>
      </c>
      <c r="F4" s="152">
        <v>196484</v>
      </c>
      <c r="G4" s="153">
        <v>171917.38</v>
      </c>
      <c r="J4" s="2057">
        <v>101086</v>
      </c>
      <c r="K4" s="2058">
        <v>101</v>
      </c>
      <c r="L4" s="2057" t="s">
        <v>1098</v>
      </c>
      <c r="M4" s="2059" t="s">
        <v>385</v>
      </c>
      <c r="N4" s="2059">
        <v>1</v>
      </c>
    </row>
    <row r="5" spans="1:14">
      <c r="A5" s="150">
        <v>2</v>
      </c>
      <c r="B5" s="151">
        <v>187655</v>
      </c>
      <c r="C5" s="152">
        <v>191187</v>
      </c>
      <c r="D5" s="152">
        <v>193632</v>
      </c>
      <c r="E5" s="152">
        <v>197161</v>
      </c>
      <c r="F5" s="152">
        <v>199607</v>
      </c>
      <c r="G5" s="153">
        <v>174577.34</v>
      </c>
      <c r="J5" s="2057">
        <v>101129</v>
      </c>
      <c r="K5" s="2058">
        <v>101</v>
      </c>
      <c r="L5" s="2057" t="s">
        <v>1099</v>
      </c>
      <c r="M5" s="2059" t="s">
        <v>385</v>
      </c>
      <c r="N5" s="2059">
        <v>1</v>
      </c>
    </row>
    <row r="6" spans="1:14">
      <c r="A6" s="150">
        <v>3</v>
      </c>
      <c r="B6" s="151">
        <v>190571</v>
      </c>
      <c r="C6" s="152">
        <v>194187</v>
      </c>
      <c r="D6" s="152">
        <v>196692</v>
      </c>
      <c r="E6" s="152">
        <v>200308</v>
      </c>
      <c r="F6" s="152">
        <v>202814</v>
      </c>
      <c r="G6" s="153">
        <v>177309.48</v>
      </c>
      <c r="J6" s="2057">
        <v>101135</v>
      </c>
      <c r="K6" s="2058">
        <v>101</v>
      </c>
      <c r="L6" s="2057" t="s">
        <v>1100</v>
      </c>
      <c r="M6" s="2059" t="s">
        <v>385</v>
      </c>
      <c r="N6" s="2059">
        <v>1</v>
      </c>
    </row>
    <row r="7" spans="1:14">
      <c r="A7" s="150">
        <v>4</v>
      </c>
      <c r="B7" s="151">
        <v>193567</v>
      </c>
      <c r="C7" s="152">
        <v>197274</v>
      </c>
      <c r="D7" s="152">
        <v>199840</v>
      </c>
      <c r="E7" s="152">
        <v>203545</v>
      </c>
      <c r="F7" s="152">
        <v>206110</v>
      </c>
      <c r="G7" s="153">
        <v>180117.41</v>
      </c>
      <c r="J7" s="2057">
        <v>101149</v>
      </c>
      <c r="K7" s="2058">
        <v>101</v>
      </c>
      <c r="L7" s="2057" t="s">
        <v>1101</v>
      </c>
      <c r="M7" s="2059" t="s">
        <v>385</v>
      </c>
      <c r="N7" s="2059">
        <v>1</v>
      </c>
    </row>
    <row r="8" spans="1:14">
      <c r="A8" s="150">
        <v>5</v>
      </c>
      <c r="B8" s="151">
        <v>196645</v>
      </c>
      <c r="C8" s="152">
        <v>200442</v>
      </c>
      <c r="D8" s="152">
        <v>203072</v>
      </c>
      <c r="E8" s="152">
        <v>206869</v>
      </c>
      <c r="F8" s="152">
        <v>209497</v>
      </c>
      <c r="G8" s="153">
        <v>183001.14</v>
      </c>
      <c r="J8" s="2057">
        <v>101152</v>
      </c>
      <c r="K8" s="2058">
        <v>101</v>
      </c>
      <c r="L8" s="2057" t="s">
        <v>1102</v>
      </c>
      <c r="M8" s="2059" t="s">
        <v>385</v>
      </c>
      <c r="N8" s="2059">
        <v>1</v>
      </c>
    </row>
    <row r="9" spans="1:14">
      <c r="A9" s="150">
        <v>6</v>
      </c>
      <c r="B9" s="151">
        <v>199810</v>
      </c>
      <c r="C9" s="152">
        <v>203700</v>
      </c>
      <c r="D9" s="152">
        <v>206395</v>
      </c>
      <c r="E9" s="152">
        <v>210285</v>
      </c>
      <c r="F9" s="152">
        <v>212978</v>
      </c>
      <c r="G9" s="153">
        <v>185966.06</v>
      </c>
      <c r="J9" s="2057">
        <v>101162</v>
      </c>
      <c r="K9" s="2058">
        <v>101</v>
      </c>
      <c r="L9" s="2057" t="s">
        <v>1103</v>
      </c>
      <c r="M9" s="2059" t="s">
        <v>385</v>
      </c>
      <c r="N9" s="2059">
        <v>1</v>
      </c>
    </row>
    <row r="10" spans="1:14">
      <c r="A10" s="150">
        <v>7</v>
      </c>
      <c r="B10" s="151">
        <v>203058</v>
      </c>
      <c r="C10" s="152">
        <v>207045</v>
      </c>
      <c r="D10" s="152">
        <v>209805</v>
      </c>
      <c r="E10" s="152">
        <v>213792</v>
      </c>
      <c r="F10" s="152">
        <v>216551</v>
      </c>
      <c r="G10" s="153">
        <v>189010.4</v>
      </c>
      <c r="J10" s="2057">
        <v>101163</v>
      </c>
      <c r="K10" s="2058">
        <v>101</v>
      </c>
      <c r="L10" s="2057" t="s">
        <v>1104</v>
      </c>
      <c r="M10" s="2059" t="s">
        <v>385</v>
      </c>
      <c r="N10" s="2059">
        <v>1</v>
      </c>
    </row>
    <row r="11" spans="1:14">
      <c r="A11" s="150">
        <v>8</v>
      </c>
      <c r="B11" s="151">
        <v>206396</v>
      </c>
      <c r="C11" s="152">
        <v>210482</v>
      </c>
      <c r="D11" s="152">
        <v>213311</v>
      </c>
      <c r="E11" s="152">
        <v>217397</v>
      </c>
      <c r="F11" s="152">
        <v>220226</v>
      </c>
      <c r="G11" s="153">
        <v>192139.54</v>
      </c>
      <c r="J11" s="2057">
        <v>101166</v>
      </c>
      <c r="K11" s="2058">
        <v>101</v>
      </c>
      <c r="L11" s="2057" t="s">
        <v>1105</v>
      </c>
      <c r="M11" s="2059" t="s">
        <v>385</v>
      </c>
      <c r="N11" s="2059">
        <v>1</v>
      </c>
    </row>
    <row r="12" spans="1:14">
      <c r="A12" s="150">
        <v>9</v>
      </c>
      <c r="B12" s="151">
        <v>209829</v>
      </c>
      <c r="C12" s="152">
        <v>214015</v>
      </c>
      <c r="D12" s="152">
        <v>216916</v>
      </c>
      <c r="E12" s="152">
        <v>221102</v>
      </c>
      <c r="F12" s="152">
        <v>224002</v>
      </c>
      <c r="G12" s="153">
        <v>195355.31</v>
      </c>
      <c r="J12" s="2057">
        <v>101169</v>
      </c>
      <c r="K12" s="2058">
        <v>101</v>
      </c>
      <c r="L12" s="2057" t="s">
        <v>1106</v>
      </c>
      <c r="M12" s="2059" t="s">
        <v>385</v>
      </c>
      <c r="N12" s="2059">
        <v>1</v>
      </c>
    </row>
    <row r="13" spans="1:14">
      <c r="A13" s="150">
        <v>10</v>
      </c>
      <c r="B13" s="151">
        <v>213353</v>
      </c>
      <c r="C13" s="152">
        <v>217646</v>
      </c>
      <c r="D13" s="152">
        <v>220617</v>
      </c>
      <c r="E13" s="152">
        <v>224909</v>
      </c>
      <c r="F13" s="152">
        <v>227882</v>
      </c>
      <c r="G13" s="153">
        <v>198659.5</v>
      </c>
      <c r="J13" s="2057">
        <v>101172</v>
      </c>
      <c r="K13" s="2058">
        <v>101</v>
      </c>
      <c r="L13" s="2057" t="s">
        <v>1107</v>
      </c>
      <c r="M13" s="2059" t="s">
        <v>385</v>
      </c>
      <c r="N13" s="2059">
        <v>1</v>
      </c>
    </row>
    <row r="14" spans="1:14">
      <c r="A14" s="150">
        <v>11</v>
      </c>
      <c r="B14" s="151">
        <v>216134</v>
      </c>
      <c r="C14" s="152">
        <v>220533</v>
      </c>
      <c r="D14" s="152">
        <v>223579</v>
      </c>
      <c r="E14" s="152">
        <v>227978</v>
      </c>
      <c r="F14" s="152">
        <v>231023</v>
      </c>
      <c r="G14" s="153">
        <v>202053.93</v>
      </c>
      <c r="J14" s="2057">
        <v>101180</v>
      </c>
      <c r="K14" s="2058">
        <v>101</v>
      </c>
      <c r="L14" s="2057" t="s">
        <v>1108</v>
      </c>
      <c r="M14" s="2059" t="s">
        <v>385</v>
      </c>
      <c r="N14" s="2059">
        <v>1</v>
      </c>
    </row>
    <row r="15" spans="1:14">
      <c r="A15" s="150">
        <v>12</v>
      </c>
      <c r="B15" s="151">
        <v>219855</v>
      </c>
      <c r="C15" s="152">
        <v>224365</v>
      </c>
      <c r="D15" s="152">
        <v>227489</v>
      </c>
      <c r="E15" s="152">
        <v>231997</v>
      </c>
      <c r="F15" s="152">
        <v>235119</v>
      </c>
      <c r="G15" s="153">
        <v>205542.18</v>
      </c>
      <c r="J15" s="2057">
        <v>101181</v>
      </c>
      <c r="K15" s="2058">
        <v>101</v>
      </c>
      <c r="L15" s="2057" t="s">
        <v>1109</v>
      </c>
      <c r="M15" s="2059" t="s">
        <v>385</v>
      </c>
      <c r="N15" s="2059">
        <v>1</v>
      </c>
    </row>
    <row r="16" spans="1:14">
      <c r="A16" s="150">
        <v>13</v>
      </c>
      <c r="B16" s="151">
        <v>223681</v>
      </c>
      <c r="C16" s="152">
        <v>228304</v>
      </c>
      <c r="D16" s="152">
        <v>231504</v>
      </c>
      <c r="E16" s="152">
        <v>236129</v>
      </c>
      <c r="F16" s="152">
        <v>239328</v>
      </c>
      <c r="G16" s="153">
        <v>209126.09</v>
      </c>
      <c r="J16" s="2057">
        <v>101184</v>
      </c>
      <c r="K16" s="2058">
        <v>101</v>
      </c>
      <c r="L16" s="2057" t="s">
        <v>1110</v>
      </c>
      <c r="M16" s="2059" t="s">
        <v>385</v>
      </c>
      <c r="N16" s="2059">
        <v>1</v>
      </c>
    </row>
    <row r="17" spans="1:14">
      <c r="A17" s="150">
        <v>14</v>
      </c>
      <c r="B17" s="151">
        <v>227611</v>
      </c>
      <c r="C17" s="152">
        <v>232351</v>
      </c>
      <c r="D17" s="152">
        <v>235632</v>
      </c>
      <c r="E17" s="152">
        <v>240371</v>
      </c>
      <c r="F17" s="152">
        <v>243652</v>
      </c>
      <c r="G17" s="153">
        <v>212809.24</v>
      </c>
      <c r="J17" s="2057">
        <v>101185</v>
      </c>
      <c r="K17" s="2058">
        <v>101</v>
      </c>
      <c r="L17" s="2057" t="s">
        <v>1111</v>
      </c>
      <c r="M17" s="2059" t="s">
        <v>385</v>
      </c>
      <c r="N17" s="2059">
        <v>1</v>
      </c>
    </row>
    <row r="18" spans="1:14">
      <c r="A18" s="150">
        <v>15</v>
      </c>
      <c r="B18" s="151">
        <v>231649</v>
      </c>
      <c r="C18" s="152">
        <v>236507</v>
      </c>
      <c r="D18" s="152">
        <v>239870</v>
      </c>
      <c r="E18" s="152">
        <v>244730</v>
      </c>
      <c r="F18" s="152">
        <v>248094</v>
      </c>
      <c r="G18" s="153">
        <v>216591.65</v>
      </c>
      <c r="J18" s="2057">
        <v>101189</v>
      </c>
      <c r="K18" s="2058">
        <v>101</v>
      </c>
      <c r="L18" s="2057" t="s">
        <v>1112</v>
      </c>
      <c r="M18" s="2059" t="s">
        <v>385</v>
      </c>
      <c r="N18" s="2059">
        <v>1</v>
      </c>
    </row>
    <row r="19" spans="1:14">
      <c r="A19" s="150">
        <v>16</v>
      </c>
      <c r="B19" s="151">
        <v>234743</v>
      </c>
      <c r="C19" s="152">
        <v>239725</v>
      </c>
      <c r="D19" s="152">
        <v>243175</v>
      </c>
      <c r="E19" s="152">
        <v>248156</v>
      </c>
      <c r="F19" s="152">
        <v>251606</v>
      </c>
      <c r="G19" s="153">
        <v>220480.52</v>
      </c>
      <c r="J19" s="2057">
        <v>101516</v>
      </c>
      <c r="K19" s="2058">
        <v>101</v>
      </c>
      <c r="L19" s="2057" t="s">
        <v>1113</v>
      </c>
      <c r="M19" s="2059" t="s">
        <v>385</v>
      </c>
      <c r="N19" s="2059">
        <v>1</v>
      </c>
    </row>
    <row r="20" spans="1:14">
      <c r="A20" s="150">
        <v>17</v>
      </c>
      <c r="B20" s="151">
        <v>239005</v>
      </c>
      <c r="C20" s="152">
        <v>244114</v>
      </c>
      <c r="D20" s="152">
        <v>247651</v>
      </c>
      <c r="E20" s="152">
        <v>252759</v>
      </c>
      <c r="F20" s="152">
        <v>256294</v>
      </c>
      <c r="G20" s="153">
        <v>224474.06</v>
      </c>
      <c r="J20" s="2057">
        <v>101526</v>
      </c>
      <c r="K20" s="2058">
        <v>101</v>
      </c>
      <c r="L20" s="2057" t="s">
        <v>1114</v>
      </c>
      <c r="M20" s="2059" t="s">
        <v>385</v>
      </c>
      <c r="N20" s="2059">
        <v>1</v>
      </c>
    </row>
    <row r="21" spans="1:14">
      <c r="A21" s="150">
        <v>18</v>
      </c>
      <c r="B21" s="151">
        <v>243387</v>
      </c>
      <c r="C21" s="152">
        <v>248626</v>
      </c>
      <c r="D21" s="152">
        <v>252252</v>
      </c>
      <c r="E21" s="152">
        <v>257490</v>
      </c>
      <c r="F21" s="152">
        <v>261115</v>
      </c>
      <c r="G21" s="153">
        <v>228579.5</v>
      </c>
      <c r="J21" s="2057">
        <v>101533</v>
      </c>
      <c r="K21" s="2058">
        <v>101</v>
      </c>
      <c r="L21" s="2057" t="s">
        <v>1115</v>
      </c>
      <c r="M21" s="2059" t="s">
        <v>385</v>
      </c>
      <c r="N21" s="2059">
        <v>1</v>
      </c>
    </row>
    <row r="22" spans="1:14">
      <c r="A22" s="150">
        <v>19</v>
      </c>
      <c r="B22" s="151">
        <v>246657</v>
      </c>
      <c r="C22" s="152">
        <v>252029</v>
      </c>
      <c r="D22" s="152">
        <v>255746</v>
      </c>
      <c r="E22" s="152">
        <v>261119</v>
      </c>
      <c r="F22" s="152">
        <v>264839</v>
      </c>
      <c r="G22" s="153">
        <v>232796.81</v>
      </c>
      <c r="J22" s="2057">
        <v>101541</v>
      </c>
      <c r="K22" s="2058">
        <v>101</v>
      </c>
      <c r="L22" s="2057" t="s">
        <v>1116</v>
      </c>
      <c r="M22" s="2059" t="s">
        <v>385</v>
      </c>
      <c r="N22" s="2059">
        <v>1</v>
      </c>
    </row>
    <row r="23" spans="1:14">
      <c r="A23" s="150">
        <v>20</v>
      </c>
      <c r="B23" s="151">
        <v>250053</v>
      </c>
      <c r="C23" s="152">
        <v>255560</v>
      </c>
      <c r="D23" s="152">
        <v>259374</v>
      </c>
      <c r="E23" s="152">
        <v>264882</v>
      </c>
      <c r="F23" s="152">
        <v>268694</v>
      </c>
      <c r="G23" s="153">
        <v>237129.61</v>
      </c>
      <c r="J23" s="2057">
        <v>101564</v>
      </c>
      <c r="K23" s="2058">
        <v>101</v>
      </c>
      <c r="L23" s="2057" t="s">
        <v>1117</v>
      </c>
      <c r="M23" s="2059" t="s">
        <v>385</v>
      </c>
      <c r="N23" s="2059">
        <v>1</v>
      </c>
    </row>
    <row r="24" spans="1:14">
      <c r="A24" s="150">
        <v>21</v>
      </c>
      <c r="B24" s="151">
        <v>254192</v>
      </c>
      <c r="C24" s="152">
        <v>259841</v>
      </c>
      <c r="D24" s="152">
        <v>263752</v>
      </c>
      <c r="E24" s="152">
        <v>269401</v>
      </c>
      <c r="F24" s="152">
        <v>273312</v>
      </c>
      <c r="G24" s="153">
        <v>241583.32</v>
      </c>
      <c r="J24" s="2057">
        <v>101581</v>
      </c>
      <c r="K24" s="2058">
        <v>101</v>
      </c>
      <c r="L24" s="2057" t="s">
        <v>1118</v>
      </c>
      <c r="M24" s="2059" t="s">
        <v>385</v>
      </c>
      <c r="N24" s="2059">
        <v>1</v>
      </c>
    </row>
    <row r="25" spans="1:14">
      <c r="A25" s="150">
        <v>22</v>
      </c>
      <c r="B25" s="151">
        <v>258027</v>
      </c>
      <c r="C25" s="152">
        <v>263676</v>
      </c>
      <c r="D25" s="152">
        <v>267587</v>
      </c>
      <c r="E25" s="152">
        <v>273236</v>
      </c>
      <c r="F25" s="152">
        <v>277147</v>
      </c>
      <c r="G25" s="153">
        <v>246033.33</v>
      </c>
      <c r="J25" s="2057">
        <v>101584</v>
      </c>
      <c r="K25" s="2058">
        <v>101</v>
      </c>
      <c r="L25" s="2057" t="s">
        <v>1119</v>
      </c>
      <c r="M25" s="2059" t="s">
        <v>385</v>
      </c>
      <c r="N25" s="2059">
        <v>1</v>
      </c>
    </row>
    <row r="26" spans="1:14">
      <c r="A26" s="150">
        <v>23</v>
      </c>
      <c r="B26" s="151">
        <v>262137</v>
      </c>
      <c r="C26" s="152">
        <v>267629</v>
      </c>
      <c r="D26" s="152">
        <v>271434</v>
      </c>
      <c r="E26" s="152">
        <v>276928</v>
      </c>
      <c r="F26" s="152">
        <v>280730</v>
      </c>
      <c r="G26" s="153">
        <v>250472.55</v>
      </c>
      <c r="J26" s="2057">
        <v>101593</v>
      </c>
      <c r="K26" s="2058">
        <v>101</v>
      </c>
      <c r="L26" s="2057" t="s">
        <v>1120</v>
      </c>
      <c r="M26" s="2059" t="s">
        <v>385</v>
      </c>
      <c r="N26" s="2059">
        <v>1</v>
      </c>
    </row>
    <row r="27" spans="1:14">
      <c r="A27" s="150">
        <v>24</v>
      </c>
      <c r="B27" s="151">
        <v>266372</v>
      </c>
      <c r="C27" s="152">
        <v>271710</v>
      </c>
      <c r="D27" s="152">
        <v>275406</v>
      </c>
      <c r="E27" s="152">
        <v>280745</v>
      </c>
      <c r="F27" s="152">
        <v>284441</v>
      </c>
      <c r="G27" s="153">
        <v>255037.97</v>
      </c>
      <c r="J27" s="2057">
        <v>147031</v>
      </c>
      <c r="K27" s="2058">
        <v>147</v>
      </c>
      <c r="L27" s="2057" t="s">
        <v>1121</v>
      </c>
      <c r="M27" s="2059" t="s">
        <v>385</v>
      </c>
      <c r="N27" s="2059">
        <v>1</v>
      </c>
    </row>
    <row r="28" spans="1:14">
      <c r="A28" s="150">
        <v>25</v>
      </c>
      <c r="B28" s="151">
        <v>270701</v>
      </c>
      <c r="C28" s="152">
        <v>275873</v>
      </c>
      <c r="D28" s="152">
        <v>279454</v>
      </c>
      <c r="E28" s="152">
        <v>284626</v>
      </c>
      <c r="F28" s="152">
        <v>288206</v>
      </c>
      <c r="G28" s="153">
        <v>259721.7</v>
      </c>
      <c r="J28" s="2057">
        <v>151022</v>
      </c>
      <c r="K28" s="2058">
        <v>151</v>
      </c>
      <c r="L28" s="2057" t="s">
        <v>1122</v>
      </c>
      <c r="M28" s="2059" t="s">
        <v>385</v>
      </c>
      <c r="N28" s="2059">
        <v>1</v>
      </c>
    </row>
    <row r="29" spans="1:14">
      <c r="A29" s="150">
        <v>26</v>
      </c>
      <c r="B29" s="151">
        <v>275131</v>
      </c>
      <c r="C29" s="152">
        <v>280123</v>
      </c>
      <c r="D29" s="152">
        <v>283580</v>
      </c>
      <c r="E29" s="152">
        <v>288573</v>
      </c>
      <c r="F29" s="152">
        <v>292029</v>
      </c>
      <c r="G29" s="153">
        <v>264528.59000000003</v>
      </c>
      <c r="J29" s="2057">
        <v>157015</v>
      </c>
      <c r="K29" s="2058">
        <v>157</v>
      </c>
      <c r="L29" s="2057" t="s">
        <v>1123</v>
      </c>
      <c r="M29" s="2059" t="s">
        <v>385</v>
      </c>
      <c r="N29" s="2059">
        <v>1</v>
      </c>
    </row>
    <row r="30" spans="1:14">
      <c r="A30" s="150">
        <v>27</v>
      </c>
      <c r="B30" s="151">
        <v>279656</v>
      </c>
      <c r="C30" s="152">
        <v>284456</v>
      </c>
      <c r="D30" s="152">
        <v>287782</v>
      </c>
      <c r="E30" s="152">
        <v>292583</v>
      </c>
      <c r="F30" s="152">
        <v>295908</v>
      </c>
      <c r="G30" s="153">
        <v>269459.90000000002</v>
      </c>
      <c r="J30" s="2057">
        <v>157020</v>
      </c>
      <c r="K30" s="2058">
        <v>157</v>
      </c>
      <c r="L30" s="2057" t="s">
        <v>1124</v>
      </c>
      <c r="M30" s="2059" t="s">
        <v>385</v>
      </c>
      <c r="N30" s="2059">
        <v>1</v>
      </c>
    </row>
    <row r="31" spans="1:14">
      <c r="A31" s="150">
        <v>28</v>
      </c>
      <c r="B31" s="151">
        <v>284283</v>
      </c>
      <c r="C31" s="152">
        <v>288881</v>
      </c>
      <c r="D31" s="152">
        <v>292064</v>
      </c>
      <c r="E31" s="152">
        <v>296661</v>
      </c>
      <c r="F31" s="152">
        <v>299845</v>
      </c>
      <c r="G31" s="153">
        <v>274522.23</v>
      </c>
      <c r="J31" s="2057">
        <v>159040</v>
      </c>
      <c r="K31" s="2058">
        <v>159</v>
      </c>
      <c r="L31" s="2057" t="s">
        <v>1125</v>
      </c>
      <c r="M31" s="2059" t="s">
        <v>385</v>
      </c>
      <c r="N31" s="2059">
        <v>1</v>
      </c>
    </row>
    <row r="32" spans="1:14">
      <c r="A32" s="150">
        <v>29</v>
      </c>
      <c r="B32" s="151">
        <v>289014</v>
      </c>
      <c r="C32" s="152">
        <v>293394</v>
      </c>
      <c r="D32" s="152">
        <v>296427</v>
      </c>
      <c r="E32" s="152">
        <v>300807</v>
      </c>
      <c r="F32" s="152">
        <v>303839</v>
      </c>
      <c r="G32" s="153">
        <v>279714.99</v>
      </c>
      <c r="J32" s="2057">
        <v>181010</v>
      </c>
      <c r="K32" s="2058">
        <v>230</v>
      </c>
      <c r="L32" s="2057" t="s">
        <v>1126</v>
      </c>
      <c r="M32" s="2059">
        <v>6</v>
      </c>
      <c r="N32" s="2059">
        <v>1</v>
      </c>
    </row>
    <row r="33" spans="1:14">
      <c r="A33" s="150">
        <v>30</v>
      </c>
      <c r="B33" s="151">
        <v>293853</v>
      </c>
      <c r="C33" s="152">
        <v>298001</v>
      </c>
      <c r="D33" s="152">
        <v>300872</v>
      </c>
      <c r="E33" s="152">
        <v>305018</v>
      </c>
      <c r="F33" s="152">
        <v>307890</v>
      </c>
      <c r="G33" s="153">
        <v>285044.74</v>
      </c>
      <c r="J33" s="2057">
        <v>217020</v>
      </c>
      <c r="K33" s="2058">
        <v>217</v>
      </c>
      <c r="L33" s="2057" t="s">
        <v>1127</v>
      </c>
      <c r="M33" s="2059" t="s">
        <v>384</v>
      </c>
      <c r="N33" s="2059">
        <v>1</v>
      </c>
    </row>
    <row r="34" spans="1:14">
      <c r="A34" s="150">
        <v>31</v>
      </c>
      <c r="B34" s="151">
        <v>298795</v>
      </c>
      <c r="C34" s="152">
        <v>302696</v>
      </c>
      <c r="D34" s="152">
        <v>305398</v>
      </c>
      <c r="E34" s="152">
        <v>309299</v>
      </c>
      <c r="F34" s="152">
        <v>312000</v>
      </c>
      <c r="G34" s="153">
        <v>290512.64000000001</v>
      </c>
      <c r="J34" s="2057">
        <v>217029</v>
      </c>
      <c r="K34" s="2058">
        <v>217</v>
      </c>
      <c r="L34" s="2057" t="s">
        <v>1128</v>
      </c>
      <c r="M34" s="2059" t="s">
        <v>384</v>
      </c>
      <c r="N34" s="2059">
        <v>1</v>
      </c>
    </row>
    <row r="35" spans="1:14">
      <c r="A35" s="150">
        <v>32</v>
      </c>
      <c r="B35" s="151">
        <v>303852</v>
      </c>
      <c r="C35" s="152">
        <v>307490</v>
      </c>
      <c r="D35" s="152">
        <v>310009</v>
      </c>
      <c r="E35" s="152">
        <v>313649</v>
      </c>
      <c r="F35" s="152">
        <v>316167</v>
      </c>
      <c r="G35" s="153">
        <v>296125.21000000002</v>
      </c>
      <c r="J35" s="2057">
        <v>219022</v>
      </c>
      <c r="K35" s="2058">
        <v>219</v>
      </c>
      <c r="L35" s="2057" t="s">
        <v>1129</v>
      </c>
      <c r="M35" s="2059" t="s">
        <v>384</v>
      </c>
      <c r="N35" s="2059">
        <v>1</v>
      </c>
    </row>
    <row r="36" spans="1:14">
      <c r="A36" s="150">
        <v>33</v>
      </c>
      <c r="B36" s="151">
        <v>309016</v>
      </c>
      <c r="C36" s="152">
        <v>312375</v>
      </c>
      <c r="D36" s="152">
        <v>314703</v>
      </c>
      <c r="E36" s="152">
        <v>318063</v>
      </c>
      <c r="F36" s="152">
        <v>320390</v>
      </c>
      <c r="G36" s="153">
        <v>301881.8</v>
      </c>
      <c r="H36" s="187">
        <f>G36/12</f>
        <v>25156.816666666666</v>
      </c>
      <c r="J36" s="2057">
        <v>259020</v>
      </c>
      <c r="K36" s="2058">
        <v>259</v>
      </c>
      <c r="L36" s="2057" t="s">
        <v>1130</v>
      </c>
      <c r="M36" s="2059" t="s">
        <v>383</v>
      </c>
      <c r="N36" s="2059">
        <v>2</v>
      </c>
    </row>
    <row r="37" spans="1:14">
      <c r="A37" s="150">
        <v>34</v>
      </c>
      <c r="B37" s="151">
        <v>314298</v>
      </c>
      <c r="C37" s="152">
        <v>317363</v>
      </c>
      <c r="D37" s="152">
        <v>319485</v>
      </c>
      <c r="E37" s="152">
        <v>322548</v>
      </c>
      <c r="F37" s="152">
        <v>324670</v>
      </c>
      <c r="G37" s="153">
        <v>307790.62</v>
      </c>
      <c r="J37" s="2057">
        <v>261005</v>
      </c>
      <c r="K37" s="2058">
        <v>350</v>
      </c>
      <c r="L37" s="2057" t="s">
        <v>1131</v>
      </c>
      <c r="M37" s="2059">
        <v>4</v>
      </c>
      <c r="N37" s="2059">
        <v>2</v>
      </c>
    </row>
    <row r="38" spans="1:14">
      <c r="A38" s="150">
        <v>35</v>
      </c>
      <c r="B38" s="151">
        <v>319697</v>
      </c>
      <c r="C38" s="152">
        <v>322450</v>
      </c>
      <c r="D38" s="152">
        <v>324354</v>
      </c>
      <c r="E38" s="152">
        <v>327107</v>
      </c>
      <c r="F38" s="152">
        <v>329011</v>
      </c>
      <c r="G38" s="153">
        <v>313854.56</v>
      </c>
      <c r="J38" s="2057">
        <v>263003</v>
      </c>
      <c r="K38" s="2058">
        <v>265</v>
      </c>
      <c r="L38" s="2057" t="s">
        <v>1132</v>
      </c>
      <c r="M38" s="2059" t="s">
        <v>383</v>
      </c>
      <c r="N38" s="2059">
        <v>2</v>
      </c>
    </row>
    <row r="39" spans="1:14">
      <c r="A39" s="150">
        <v>36</v>
      </c>
      <c r="B39" s="151">
        <v>325214</v>
      </c>
      <c r="C39" s="152">
        <v>327634</v>
      </c>
      <c r="D39" s="152">
        <v>329310</v>
      </c>
      <c r="E39" s="152">
        <v>331731</v>
      </c>
      <c r="F39" s="152">
        <v>333406</v>
      </c>
      <c r="G39" s="153">
        <v>320074.68</v>
      </c>
      <c r="J39" s="2057">
        <v>265018</v>
      </c>
      <c r="K39" s="2058">
        <v>265</v>
      </c>
      <c r="L39" s="2057" t="s">
        <v>1133</v>
      </c>
      <c r="M39" s="2059" t="s">
        <v>383</v>
      </c>
      <c r="N39" s="2059">
        <v>2</v>
      </c>
    </row>
    <row r="40" spans="1:14">
      <c r="A40" s="150">
        <v>37</v>
      </c>
      <c r="B40" s="151">
        <v>330853</v>
      </c>
      <c r="C40" s="152">
        <v>332923</v>
      </c>
      <c r="D40" s="152">
        <v>334355</v>
      </c>
      <c r="E40" s="152">
        <v>336425</v>
      </c>
      <c r="F40" s="152">
        <v>337859</v>
      </c>
      <c r="G40" s="153">
        <v>326457.34000000003</v>
      </c>
      <c r="J40" s="2057">
        <v>265030</v>
      </c>
      <c r="K40" s="2058">
        <v>265</v>
      </c>
      <c r="L40" s="2057" t="s">
        <v>1134</v>
      </c>
      <c r="M40" s="2059" t="s">
        <v>383</v>
      </c>
      <c r="N40" s="2059">
        <v>2</v>
      </c>
    </row>
    <row r="41" spans="1:14">
      <c r="A41" s="150">
        <v>38</v>
      </c>
      <c r="B41" s="151">
        <v>336808</v>
      </c>
      <c r="C41" s="152">
        <v>338540</v>
      </c>
      <c r="D41" s="152">
        <v>339739</v>
      </c>
      <c r="E41" s="152">
        <v>341471</v>
      </c>
      <c r="F41" s="152">
        <v>342672</v>
      </c>
      <c r="G41" s="153">
        <v>333128.88</v>
      </c>
      <c r="J41" s="2057">
        <v>265036</v>
      </c>
      <c r="K41" s="2058">
        <v>265</v>
      </c>
      <c r="L41" s="2057" t="s">
        <v>1135</v>
      </c>
      <c r="M41" s="2059" t="s">
        <v>383</v>
      </c>
      <c r="N41" s="2059">
        <v>2</v>
      </c>
    </row>
    <row r="42" spans="1:14">
      <c r="A42" s="150">
        <v>39</v>
      </c>
      <c r="B42" s="151">
        <v>342821</v>
      </c>
      <c r="C42" s="152">
        <v>344156</v>
      </c>
      <c r="D42" s="152">
        <v>345080</v>
      </c>
      <c r="E42" s="152">
        <v>346413</v>
      </c>
      <c r="F42" s="152">
        <v>347337</v>
      </c>
      <c r="G42" s="153">
        <v>339989.41</v>
      </c>
      <c r="J42" s="2057">
        <v>265039</v>
      </c>
      <c r="K42" s="2058">
        <v>265</v>
      </c>
      <c r="L42" s="2057" t="s">
        <v>1136</v>
      </c>
      <c r="M42" s="2059" t="s">
        <v>383</v>
      </c>
      <c r="N42" s="2059">
        <v>2</v>
      </c>
    </row>
    <row r="43" spans="1:14">
      <c r="A43" s="150">
        <v>40</v>
      </c>
      <c r="B43" s="151">
        <v>348966</v>
      </c>
      <c r="C43" s="152">
        <v>349878</v>
      </c>
      <c r="D43" s="152">
        <v>350510</v>
      </c>
      <c r="E43" s="152">
        <v>351422</v>
      </c>
      <c r="F43" s="152">
        <v>352054</v>
      </c>
      <c r="G43" s="153">
        <v>347027.46</v>
      </c>
      <c r="J43" s="2057">
        <v>269006</v>
      </c>
      <c r="K43" s="2058">
        <v>269</v>
      </c>
      <c r="L43" s="2057" t="s">
        <v>1137</v>
      </c>
      <c r="M43" s="2059" t="s">
        <v>383</v>
      </c>
      <c r="N43" s="2059">
        <v>2</v>
      </c>
    </row>
    <row r="44" spans="1:14">
      <c r="A44" s="150">
        <v>41</v>
      </c>
      <c r="B44" s="151">
        <v>355245</v>
      </c>
      <c r="C44" s="152">
        <v>355712</v>
      </c>
      <c r="D44" s="152">
        <v>356037</v>
      </c>
      <c r="E44" s="152">
        <v>356505</v>
      </c>
      <c r="F44" s="152">
        <v>356828</v>
      </c>
      <c r="G44" s="153">
        <v>354249.23</v>
      </c>
      <c r="J44" s="2057">
        <v>280038</v>
      </c>
      <c r="K44" s="2058">
        <v>320</v>
      </c>
      <c r="L44" s="2057" t="s">
        <v>1138</v>
      </c>
      <c r="M44" s="2059">
        <v>2</v>
      </c>
      <c r="N44" s="2059">
        <v>2</v>
      </c>
    </row>
    <row r="45" spans="1:14">
      <c r="A45" s="150">
        <v>42</v>
      </c>
      <c r="B45" s="151">
        <v>361660</v>
      </c>
      <c r="C45" s="152">
        <v>361660</v>
      </c>
      <c r="D45" s="152">
        <v>361660</v>
      </c>
      <c r="E45" s="152">
        <v>361660</v>
      </c>
      <c r="F45" s="152">
        <v>361660</v>
      </c>
      <c r="G45" s="153">
        <v>361659.2</v>
      </c>
      <c r="H45" s="187">
        <f>G45/12</f>
        <v>30138.266666666666</v>
      </c>
      <c r="J45" s="2057">
        <v>280039</v>
      </c>
      <c r="K45" s="2058">
        <v>217</v>
      </c>
      <c r="L45" s="2057" t="s">
        <v>1139</v>
      </c>
      <c r="M45" s="2059" t="s">
        <v>384</v>
      </c>
      <c r="N45" s="2059">
        <v>1</v>
      </c>
    </row>
    <row r="46" spans="1:14">
      <c r="A46" s="150">
        <v>43</v>
      </c>
      <c r="B46" s="151">
        <v>369689</v>
      </c>
      <c r="C46" s="152">
        <v>369689</v>
      </c>
      <c r="D46" s="152">
        <v>369689</v>
      </c>
      <c r="E46" s="152">
        <v>369689</v>
      </c>
      <c r="F46" s="152">
        <v>369689</v>
      </c>
      <c r="G46" s="153">
        <v>369688.53</v>
      </c>
      <c r="J46" s="2057">
        <v>280040</v>
      </c>
      <c r="K46" s="2058">
        <v>706</v>
      </c>
      <c r="L46" s="2057" t="s">
        <v>1140</v>
      </c>
      <c r="M46" s="2059">
        <v>2</v>
      </c>
      <c r="N46" s="2059">
        <v>5</v>
      </c>
    </row>
    <row r="47" spans="1:14">
      <c r="A47" s="150">
        <v>44</v>
      </c>
      <c r="B47" s="151">
        <v>377937</v>
      </c>
      <c r="C47" s="152">
        <v>377937</v>
      </c>
      <c r="D47" s="152">
        <v>377937</v>
      </c>
      <c r="E47" s="152">
        <v>377937</v>
      </c>
      <c r="F47" s="152">
        <v>377937</v>
      </c>
      <c r="G47" s="153">
        <v>377937.3</v>
      </c>
      <c r="J47" s="2057">
        <v>280053</v>
      </c>
      <c r="K47" s="2058">
        <v>706</v>
      </c>
      <c r="L47" s="2057" t="s">
        <v>1141</v>
      </c>
      <c r="M47" s="2059">
        <v>2</v>
      </c>
      <c r="N47" s="2059">
        <v>5</v>
      </c>
    </row>
    <row r="48" spans="1:14">
      <c r="A48" s="150">
        <v>45</v>
      </c>
      <c r="B48" s="151">
        <v>386414</v>
      </c>
      <c r="C48" s="152">
        <v>386414</v>
      </c>
      <c r="D48" s="152">
        <v>386414</v>
      </c>
      <c r="E48" s="152">
        <v>386414</v>
      </c>
      <c r="F48" s="152">
        <v>386414</v>
      </c>
      <c r="G48" s="153">
        <v>386414.29</v>
      </c>
      <c r="J48" s="2057">
        <v>280055</v>
      </c>
      <c r="K48" s="2058">
        <v>306</v>
      </c>
      <c r="L48" s="2057" t="s">
        <v>1142</v>
      </c>
      <c r="M48" s="2059">
        <v>2</v>
      </c>
      <c r="N48" s="2059">
        <v>2</v>
      </c>
    </row>
    <row r="49" spans="1:14">
      <c r="A49" s="150">
        <v>46</v>
      </c>
      <c r="B49" s="151">
        <v>395125</v>
      </c>
      <c r="C49" s="152">
        <v>395125</v>
      </c>
      <c r="D49" s="152">
        <v>395125</v>
      </c>
      <c r="E49" s="152">
        <v>395125</v>
      </c>
      <c r="F49" s="152">
        <v>395125</v>
      </c>
      <c r="G49" s="153">
        <v>395124.74</v>
      </c>
      <c r="J49" s="2057">
        <v>280204</v>
      </c>
      <c r="K49" s="2058">
        <v>846</v>
      </c>
      <c r="L49" s="2057" t="s">
        <v>1143</v>
      </c>
      <c r="M49" s="2059">
        <v>2</v>
      </c>
      <c r="N49" s="2059">
        <v>6</v>
      </c>
    </row>
    <row r="50" spans="1:14">
      <c r="A50" s="150">
        <v>47</v>
      </c>
      <c r="B50" s="151">
        <v>413269</v>
      </c>
      <c r="C50" s="152">
        <v>413269</v>
      </c>
      <c r="D50" s="152">
        <v>413269</v>
      </c>
      <c r="E50" s="152">
        <v>413269</v>
      </c>
      <c r="F50" s="152">
        <v>413269</v>
      </c>
      <c r="G50" s="153">
        <v>413268.87</v>
      </c>
      <c r="J50" s="2057">
        <v>280207</v>
      </c>
      <c r="K50" s="2058">
        <v>860</v>
      </c>
      <c r="L50" s="2057" t="s">
        <v>1144</v>
      </c>
      <c r="M50" s="2059">
        <v>2</v>
      </c>
      <c r="N50" s="2059">
        <v>6</v>
      </c>
    </row>
    <row r="51" spans="1:14">
      <c r="A51" s="150">
        <v>48</v>
      </c>
      <c r="B51" s="151">
        <v>441027</v>
      </c>
      <c r="C51" s="152">
        <v>441027</v>
      </c>
      <c r="D51" s="152">
        <v>441027</v>
      </c>
      <c r="E51" s="152">
        <v>441027</v>
      </c>
      <c r="F51" s="152">
        <v>441027</v>
      </c>
      <c r="G51" s="153">
        <v>441025.75</v>
      </c>
      <c r="H51" s="141">
        <f>G51/12</f>
        <v>36752.145833333336</v>
      </c>
      <c r="J51" s="2057">
        <v>280208</v>
      </c>
      <c r="K51" s="2058">
        <v>580</v>
      </c>
      <c r="L51" s="2057" t="s">
        <v>1145</v>
      </c>
      <c r="M51" s="2059">
        <v>2</v>
      </c>
      <c r="N51" s="2059">
        <v>4</v>
      </c>
    </row>
    <row r="52" spans="1:14">
      <c r="A52" s="150">
        <v>49</v>
      </c>
      <c r="B52" s="151">
        <v>471781</v>
      </c>
      <c r="C52" s="152">
        <v>471781</v>
      </c>
      <c r="D52" s="152">
        <v>471781</v>
      </c>
      <c r="E52" s="152">
        <v>471781</v>
      </c>
      <c r="F52" s="152">
        <v>471781</v>
      </c>
      <c r="G52" s="153">
        <v>471780.9</v>
      </c>
      <c r="J52" s="2057">
        <v>280212</v>
      </c>
      <c r="K52" s="2058">
        <v>860</v>
      </c>
      <c r="L52" s="2057" t="s">
        <v>1146</v>
      </c>
      <c r="M52" s="2059">
        <v>2</v>
      </c>
      <c r="N52" s="2059">
        <v>6</v>
      </c>
    </row>
    <row r="53" spans="1:14">
      <c r="A53" s="150">
        <v>50</v>
      </c>
      <c r="B53" s="151">
        <v>521094</v>
      </c>
      <c r="C53" s="152">
        <v>521094</v>
      </c>
      <c r="D53" s="152">
        <v>521094</v>
      </c>
      <c r="E53" s="152">
        <v>521094</v>
      </c>
      <c r="F53" s="152">
        <v>521094</v>
      </c>
      <c r="G53" s="153">
        <v>521094.47</v>
      </c>
      <c r="J53" s="2057">
        <v>280214</v>
      </c>
      <c r="K53" s="2058">
        <v>727</v>
      </c>
      <c r="L53" s="2057" t="s">
        <v>1147</v>
      </c>
      <c r="M53" s="2059" t="s">
        <v>381</v>
      </c>
      <c r="N53" s="2059">
        <v>5</v>
      </c>
    </row>
    <row r="54" spans="1:14">
      <c r="A54" s="322">
        <v>51</v>
      </c>
      <c r="B54" s="323">
        <v>592911</v>
      </c>
      <c r="C54" s="324">
        <v>592911</v>
      </c>
      <c r="D54" s="324">
        <v>592911</v>
      </c>
      <c r="E54" s="324">
        <v>592911</v>
      </c>
      <c r="F54" s="324">
        <v>592911</v>
      </c>
      <c r="G54" s="325">
        <v>592911.94999999995</v>
      </c>
      <c r="J54" s="2057">
        <v>280215</v>
      </c>
      <c r="K54" s="2058">
        <v>787</v>
      </c>
      <c r="L54" s="2057" t="s">
        <v>1148</v>
      </c>
      <c r="M54" s="2059" t="s">
        <v>381</v>
      </c>
      <c r="N54" s="2059">
        <v>6</v>
      </c>
    </row>
    <row r="55" spans="1:14">
      <c r="A55" s="322">
        <v>52</v>
      </c>
      <c r="B55" s="323">
        <v>650993</v>
      </c>
      <c r="C55" s="324">
        <v>650993</v>
      </c>
      <c r="D55" s="324">
        <v>650993</v>
      </c>
      <c r="E55" s="324">
        <v>650993</v>
      </c>
      <c r="F55" s="324">
        <v>650993</v>
      </c>
      <c r="G55" s="325">
        <v>650993.51</v>
      </c>
      <c r="J55" s="2057">
        <v>280216</v>
      </c>
      <c r="K55" s="2058">
        <v>461</v>
      </c>
      <c r="L55" s="2057" t="s">
        <v>1149</v>
      </c>
      <c r="M55" s="2059" t="s">
        <v>382</v>
      </c>
      <c r="N55" s="2059">
        <v>3</v>
      </c>
    </row>
    <row r="56" spans="1:14">
      <c r="A56" s="322">
        <v>53</v>
      </c>
      <c r="B56" s="323">
        <v>728408</v>
      </c>
      <c r="C56" s="324">
        <v>728408</v>
      </c>
      <c r="D56" s="324">
        <v>728408</v>
      </c>
      <c r="E56" s="324">
        <v>728408</v>
      </c>
      <c r="F56" s="324">
        <v>728408</v>
      </c>
      <c r="G56" s="325">
        <v>728409.39</v>
      </c>
      <c r="J56" s="2057">
        <v>280218</v>
      </c>
      <c r="K56" s="2058">
        <v>621</v>
      </c>
      <c r="L56" s="2057" t="s">
        <v>1150</v>
      </c>
      <c r="M56" s="2059" t="s">
        <v>381</v>
      </c>
      <c r="N56" s="2059">
        <v>4</v>
      </c>
    </row>
    <row r="57" spans="1:14">
      <c r="A57" s="322">
        <v>54</v>
      </c>
      <c r="B57" s="323">
        <v>821385</v>
      </c>
      <c r="C57" s="324">
        <v>821385</v>
      </c>
      <c r="D57" s="324">
        <v>821385</v>
      </c>
      <c r="E57" s="324">
        <v>821385</v>
      </c>
      <c r="F57" s="324">
        <v>821385</v>
      </c>
      <c r="G57" s="325">
        <v>821385.31</v>
      </c>
      <c r="J57" s="2057">
        <v>280220</v>
      </c>
      <c r="K57" s="2058">
        <v>787</v>
      </c>
      <c r="L57" s="2057" t="s">
        <v>1151</v>
      </c>
      <c r="M57" s="2059" t="s">
        <v>381</v>
      </c>
      <c r="N57" s="2059">
        <v>6</v>
      </c>
    </row>
    <row r="58" spans="1:14">
      <c r="A58" s="322">
        <v>55</v>
      </c>
      <c r="B58" s="323">
        <v>925652</v>
      </c>
      <c r="C58" s="324">
        <v>925652</v>
      </c>
      <c r="D58" s="324">
        <v>925652</v>
      </c>
      <c r="E58" s="324">
        <v>925652</v>
      </c>
      <c r="F58" s="324">
        <v>925652</v>
      </c>
      <c r="G58" s="325">
        <v>925652.26</v>
      </c>
      <c r="J58" s="2057">
        <v>280221</v>
      </c>
      <c r="K58" s="2058">
        <v>860</v>
      </c>
      <c r="L58" s="2057" t="s">
        <v>1152</v>
      </c>
      <c r="M58" s="2059">
        <v>2</v>
      </c>
      <c r="N58" s="2059">
        <v>6</v>
      </c>
    </row>
    <row r="59" spans="1:14">
      <c r="A59" s="155" t="s">
        <v>1153</v>
      </c>
      <c r="B59" s="320">
        <v>273480</v>
      </c>
      <c r="C59" s="320">
        <v>273480</v>
      </c>
      <c r="D59" s="320">
        <v>273480</v>
      </c>
      <c r="E59" s="320">
        <v>273480</v>
      </c>
      <c r="F59" s="320">
        <v>273480</v>
      </c>
      <c r="G59" s="320">
        <v>273480</v>
      </c>
      <c r="J59" s="2057">
        <v>280224</v>
      </c>
      <c r="K59" s="2058">
        <v>727</v>
      </c>
      <c r="L59" s="2057" t="s">
        <v>1154</v>
      </c>
      <c r="M59" s="2059" t="s">
        <v>381</v>
      </c>
      <c r="N59" s="2059">
        <v>5</v>
      </c>
    </row>
    <row r="60" spans="1:14">
      <c r="A60" s="155" t="s">
        <v>1155</v>
      </c>
      <c r="B60" s="320">
        <v>305210</v>
      </c>
      <c r="C60" s="320">
        <v>305210</v>
      </c>
      <c r="D60" s="320">
        <v>305210</v>
      </c>
      <c r="E60" s="320">
        <v>305210</v>
      </c>
      <c r="F60" s="320">
        <v>305210</v>
      </c>
      <c r="G60" s="320">
        <v>305210</v>
      </c>
      <c r="J60" s="2057">
        <v>280226</v>
      </c>
      <c r="K60" s="2058">
        <v>450</v>
      </c>
      <c r="L60" s="2057" t="s">
        <v>1156</v>
      </c>
      <c r="M60" s="2059">
        <v>3</v>
      </c>
      <c r="N60" s="2059">
        <v>3</v>
      </c>
    </row>
    <row r="61" spans="1:14">
      <c r="A61" s="155" t="s">
        <v>1157</v>
      </c>
      <c r="B61" s="320">
        <v>336820</v>
      </c>
      <c r="C61" s="320">
        <v>336820</v>
      </c>
      <c r="D61" s="320">
        <v>336820</v>
      </c>
      <c r="E61" s="320">
        <v>336820</v>
      </c>
      <c r="F61" s="320">
        <v>336820</v>
      </c>
      <c r="G61" s="320">
        <v>336820</v>
      </c>
      <c r="J61" s="2057">
        <v>280227</v>
      </c>
      <c r="K61" s="2058">
        <v>550</v>
      </c>
      <c r="L61" s="2057" t="s">
        <v>1158</v>
      </c>
      <c r="M61" s="2059">
        <v>2</v>
      </c>
      <c r="N61" s="2059">
        <v>6</v>
      </c>
    </row>
    <row r="62" spans="1:14">
      <c r="A62" s="160" t="s">
        <v>1159</v>
      </c>
      <c r="B62" s="321">
        <v>354670</v>
      </c>
      <c r="C62" s="321">
        <v>354670</v>
      </c>
      <c r="D62" s="321">
        <v>354670</v>
      </c>
      <c r="E62" s="321">
        <v>354670</v>
      </c>
      <c r="F62" s="321">
        <v>354670</v>
      </c>
      <c r="G62" s="321">
        <v>354670</v>
      </c>
      <c r="J62" s="2057">
        <v>280380</v>
      </c>
      <c r="K62" s="2058">
        <v>329</v>
      </c>
      <c r="L62" s="2057" t="s">
        <v>1160</v>
      </c>
      <c r="M62" s="2059" t="s">
        <v>381</v>
      </c>
      <c r="N62" s="2059">
        <v>2</v>
      </c>
    </row>
    <row r="63" spans="1:14">
      <c r="A63" s="155" t="s">
        <v>438</v>
      </c>
      <c r="B63" s="156">
        <v>279695</v>
      </c>
      <c r="C63" s="157">
        <v>279695</v>
      </c>
      <c r="D63" s="157">
        <v>279695</v>
      </c>
      <c r="E63" s="157">
        <v>279695</v>
      </c>
      <c r="F63" s="157">
        <v>279695</v>
      </c>
      <c r="G63" s="2062">
        <v>279695</v>
      </c>
      <c r="J63" s="2057">
        <v>280381</v>
      </c>
      <c r="K63" s="2058">
        <v>250</v>
      </c>
      <c r="L63" s="2057" t="s">
        <v>1161</v>
      </c>
      <c r="M63" s="2059">
        <v>5</v>
      </c>
      <c r="N63" s="2059">
        <v>2</v>
      </c>
    </row>
    <row r="64" spans="1:14">
      <c r="A64" s="155" t="s">
        <v>435</v>
      </c>
      <c r="B64" s="156">
        <v>298044</v>
      </c>
      <c r="C64" s="158">
        <v>298044</v>
      </c>
      <c r="D64" s="158">
        <v>298044</v>
      </c>
      <c r="E64" s="158">
        <v>298044</v>
      </c>
      <c r="F64" s="158">
        <v>298044</v>
      </c>
      <c r="G64" s="159">
        <v>298044</v>
      </c>
      <c r="J64" s="2057">
        <v>280382</v>
      </c>
      <c r="K64" s="2058">
        <v>550</v>
      </c>
      <c r="L64" s="2057" t="s">
        <v>1162</v>
      </c>
      <c r="M64" s="2059">
        <v>2</v>
      </c>
      <c r="N64" s="2059">
        <v>4</v>
      </c>
    </row>
    <row r="65" spans="1:14">
      <c r="A65" s="155" t="s">
        <v>439</v>
      </c>
      <c r="B65" s="156">
        <v>325699</v>
      </c>
      <c r="C65" s="158">
        <v>325699</v>
      </c>
      <c r="D65" s="158">
        <v>325699</v>
      </c>
      <c r="E65" s="158">
        <v>325699</v>
      </c>
      <c r="F65" s="158">
        <v>325699</v>
      </c>
      <c r="G65" s="159">
        <v>325699</v>
      </c>
      <c r="J65" s="2057">
        <v>280384</v>
      </c>
      <c r="K65" s="2058">
        <v>791</v>
      </c>
      <c r="L65" s="2057" t="s">
        <v>1163</v>
      </c>
      <c r="M65" s="2059" t="s">
        <v>381</v>
      </c>
      <c r="N65" s="2059">
        <v>5</v>
      </c>
    </row>
    <row r="66" spans="1:14">
      <c r="A66" s="155" t="s">
        <v>436</v>
      </c>
      <c r="B66" s="156">
        <f>355979/1.01304</f>
        <v>351396.78591171128</v>
      </c>
      <c r="C66" s="158">
        <f>+B66+2100</f>
        <v>353496.78591171128</v>
      </c>
      <c r="D66" s="158">
        <f>+B66+3900</f>
        <v>355296.78591171128</v>
      </c>
      <c r="E66" s="158">
        <f>+B66+6000</f>
        <v>357396.78591171128</v>
      </c>
      <c r="F66" s="158">
        <f>+B66+7500</f>
        <v>358896.78591171128</v>
      </c>
      <c r="G66" s="159">
        <v>355970</v>
      </c>
      <c r="J66" s="2057">
        <v>280385</v>
      </c>
      <c r="K66" s="2058">
        <v>573</v>
      </c>
      <c r="L66" s="2057" t="s">
        <v>1164</v>
      </c>
      <c r="M66" s="2059" t="s">
        <v>381</v>
      </c>
      <c r="N66" s="2059">
        <v>4</v>
      </c>
    </row>
    <row r="67" spans="1:14">
      <c r="A67" s="155" t="s">
        <v>1165</v>
      </c>
      <c r="B67" s="156">
        <v>272188</v>
      </c>
      <c r="C67" s="156">
        <v>271288</v>
      </c>
      <c r="D67" s="156">
        <v>271288</v>
      </c>
      <c r="E67" s="156">
        <v>271288</v>
      </c>
      <c r="F67" s="156">
        <v>271288</v>
      </c>
      <c r="G67" s="156">
        <v>271288</v>
      </c>
      <c r="J67" s="2057">
        <v>280386</v>
      </c>
      <c r="K67" s="2058">
        <v>540</v>
      </c>
      <c r="L67" s="2057" t="s">
        <v>1166</v>
      </c>
      <c r="M67" s="2059">
        <v>3</v>
      </c>
      <c r="N67" s="2059">
        <v>4</v>
      </c>
    </row>
    <row r="68" spans="1:14">
      <c r="A68" s="155" t="s">
        <v>1167</v>
      </c>
      <c r="B68" s="156">
        <v>285295</v>
      </c>
      <c r="C68" s="156">
        <v>284395</v>
      </c>
      <c r="D68" s="156">
        <v>284395</v>
      </c>
      <c r="E68" s="156">
        <v>284395</v>
      </c>
      <c r="F68" s="156">
        <v>284395</v>
      </c>
      <c r="G68" s="156">
        <v>284395</v>
      </c>
      <c r="J68" s="2057">
        <v>280387</v>
      </c>
      <c r="K68" s="2058">
        <v>550</v>
      </c>
      <c r="L68" s="2057" t="s">
        <v>1168</v>
      </c>
      <c r="M68" s="2059">
        <v>2</v>
      </c>
      <c r="N68" s="2059">
        <v>4</v>
      </c>
    </row>
    <row r="69" spans="1:14">
      <c r="A69" s="160" t="s">
        <v>1169</v>
      </c>
      <c r="B69" s="161">
        <v>295911</v>
      </c>
      <c r="C69" s="161">
        <v>295011</v>
      </c>
      <c r="D69" s="161">
        <v>295011</v>
      </c>
      <c r="E69" s="161">
        <v>295011</v>
      </c>
      <c r="F69" s="161">
        <v>295011</v>
      </c>
      <c r="G69" s="161">
        <v>295011</v>
      </c>
      <c r="J69" s="2057">
        <v>280388</v>
      </c>
      <c r="K69" s="2058">
        <v>530</v>
      </c>
      <c r="L69" s="2057" t="s">
        <v>1170</v>
      </c>
      <c r="M69" s="2059">
        <v>2</v>
      </c>
      <c r="N69" s="2059">
        <v>5</v>
      </c>
    </row>
    <row r="70" spans="1:14">
      <c r="A70" s="160" t="s">
        <v>437</v>
      </c>
      <c r="B70" s="161">
        <v>314654</v>
      </c>
      <c r="C70" s="161">
        <v>314654</v>
      </c>
      <c r="D70" s="161">
        <v>314654</v>
      </c>
      <c r="E70" s="161">
        <v>314654</v>
      </c>
      <c r="F70" s="161">
        <v>314654</v>
      </c>
      <c r="G70" s="161">
        <v>314654</v>
      </c>
      <c r="J70" s="2057">
        <v>280389</v>
      </c>
      <c r="K70" s="2058">
        <v>661</v>
      </c>
      <c r="L70" s="2057" t="s">
        <v>1171</v>
      </c>
      <c r="M70" s="2059" t="s">
        <v>381</v>
      </c>
      <c r="N70" s="2059">
        <v>5</v>
      </c>
    </row>
    <row r="71" spans="1:14">
      <c r="A71" s="162"/>
      <c r="B71" s="162"/>
      <c r="C71" s="162"/>
      <c r="D71" s="162"/>
      <c r="E71" s="162"/>
      <c r="F71" s="162"/>
      <c r="G71" s="162"/>
      <c r="J71" s="2057">
        <v>280390</v>
      </c>
      <c r="K71" s="2058">
        <v>710</v>
      </c>
      <c r="L71" s="2057" t="s">
        <v>1172</v>
      </c>
      <c r="M71" s="2059">
        <v>2</v>
      </c>
      <c r="N71" s="2059">
        <v>5</v>
      </c>
    </row>
    <row r="72" spans="1:14" ht="18">
      <c r="A72" s="163" t="s">
        <v>468</v>
      </c>
      <c r="B72" s="162"/>
      <c r="C72" s="162" t="s">
        <v>1173</v>
      </c>
      <c r="D72" s="162"/>
      <c r="E72" s="162"/>
      <c r="F72" s="162"/>
      <c r="G72" s="162"/>
      <c r="J72" s="2057">
        <v>280391</v>
      </c>
      <c r="K72" s="2058">
        <v>329</v>
      </c>
      <c r="L72" s="2057" t="s">
        <v>1174</v>
      </c>
      <c r="M72" s="2059" t="s">
        <v>381</v>
      </c>
      <c r="N72" s="2059">
        <v>2</v>
      </c>
    </row>
    <row r="73" spans="1:14">
      <c r="A73" s="142"/>
      <c r="B73" s="143"/>
      <c r="C73" s="144"/>
      <c r="D73" s="145" t="s">
        <v>463</v>
      </c>
      <c r="E73" s="144"/>
      <c r="F73" s="164"/>
      <c r="G73" s="165"/>
      <c r="J73" s="2057">
        <v>280393</v>
      </c>
      <c r="K73" s="2058">
        <v>330</v>
      </c>
      <c r="L73" s="2057" t="s">
        <v>1175</v>
      </c>
      <c r="M73" s="2059">
        <v>3</v>
      </c>
      <c r="N73" s="2059">
        <v>2</v>
      </c>
    </row>
    <row r="74" spans="1:14">
      <c r="A74" s="2060" t="s">
        <v>1176</v>
      </c>
      <c r="B74" s="148" t="s">
        <v>1091</v>
      </c>
      <c r="C74" s="149" t="s">
        <v>1092</v>
      </c>
      <c r="D74" s="149" t="s">
        <v>1093</v>
      </c>
      <c r="E74" s="149" t="s">
        <v>1094</v>
      </c>
      <c r="F74" s="166" t="s">
        <v>1095</v>
      </c>
      <c r="G74" s="167"/>
      <c r="J74" s="2057">
        <v>280394</v>
      </c>
      <c r="K74" s="2058">
        <v>840</v>
      </c>
      <c r="L74" s="2057" t="s">
        <v>1177</v>
      </c>
      <c r="M74" s="2059">
        <v>2</v>
      </c>
      <c r="N74" s="2059">
        <v>6</v>
      </c>
    </row>
    <row r="75" spans="1:14">
      <c r="A75" s="150" t="s">
        <v>438</v>
      </c>
      <c r="B75" s="151">
        <v>0</v>
      </c>
      <c r="C75" s="168">
        <v>3900</v>
      </c>
      <c r="D75" s="168">
        <v>6900</v>
      </c>
      <c r="E75" s="168">
        <v>10800</v>
      </c>
      <c r="F75" s="169">
        <v>13800</v>
      </c>
      <c r="G75" s="162"/>
      <c r="J75" s="2057">
        <v>280396</v>
      </c>
      <c r="K75" s="2058">
        <v>265</v>
      </c>
      <c r="L75" s="2057" t="s">
        <v>1178</v>
      </c>
      <c r="M75" s="2059" t="s">
        <v>383</v>
      </c>
      <c r="N75" s="2059">
        <v>2</v>
      </c>
    </row>
    <row r="76" spans="1:14">
      <c r="A76" s="150" t="s">
        <v>435</v>
      </c>
      <c r="B76" s="151">
        <v>0</v>
      </c>
      <c r="C76" s="152">
        <v>3300</v>
      </c>
      <c r="D76" s="152">
        <v>5700</v>
      </c>
      <c r="E76" s="152">
        <v>9000</v>
      </c>
      <c r="F76" s="170">
        <v>11400</v>
      </c>
      <c r="G76" s="162"/>
      <c r="J76" s="2057">
        <v>280398</v>
      </c>
      <c r="K76" s="2058">
        <v>661</v>
      </c>
      <c r="L76" s="2057" t="s">
        <v>1179</v>
      </c>
      <c r="M76" s="2059" t="s">
        <v>381</v>
      </c>
      <c r="N76" s="2059">
        <v>5</v>
      </c>
    </row>
    <row r="77" spans="1:14">
      <c r="A77" s="150" t="s">
        <v>439</v>
      </c>
      <c r="B77" s="151">
        <v>0</v>
      </c>
      <c r="C77" s="152">
        <v>2100</v>
      </c>
      <c r="D77" s="152">
        <v>3900</v>
      </c>
      <c r="E77" s="152">
        <v>6000</v>
      </c>
      <c r="F77" s="170">
        <v>7500</v>
      </c>
      <c r="G77" s="162"/>
      <c r="J77" s="2057">
        <v>280405</v>
      </c>
      <c r="K77" s="2058">
        <v>730</v>
      </c>
      <c r="L77" s="2057" t="s">
        <v>1180</v>
      </c>
      <c r="M77" s="2059">
        <v>2</v>
      </c>
      <c r="N77" s="2059">
        <v>5</v>
      </c>
    </row>
    <row r="78" spans="1:14">
      <c r="A78" s="150" t="s">
        <v>436</v>
      </c>
      <c r="B78" s="151">
        <v>0</v>
      </c>
      <c r="C78" s="152">
        <v>2100</v>
      </c>
      <c r="D78" s="152">
        <v>3900</v>
      </c>
      <c r="E78" s="152">
        <v>6000</v>
      </c>
      <c r="F78" s="170">
        <v>7500</v>
      </c>
      <c r="G78" s="162"/>
      <c r="J78" s="2057">
        <v>280460</v>
      </c>
      <c r="K78" s="2058">
        <v>791</v>
      </c>
      <c r="L78" s="2057" t="s">
        <v>1181</v>
      </c>
      <c r="M78" s="2059" t="s">
        <v>381</v>
      </c>
      <c r="N78" s="2059">
        <v>5</v>
      </c>
    </row>
    <row r="79" spans="1:14">
      <c r="A79" s="150" t="s">
        <v>1165</v>
      </c>
      <c r="B79" s="151">
        <v>0</v>
      </c>
      <c r="C79" s="152">
        <v>4500</v>
      </c>
      <c r="D79" s="152">
        <v>7500</v>
      </c>
      <c r="E79" s="152">
        <v>12000</v>
      </c>
      <c r="F79" s="170">
        <v>15000</v>
      </c>
      <c r="G79" s="162"/>
      <c r="J79" s="2057">
        <v>280461</v>
      </c>
      <c r="K79" s="2058">
        <v>336</v>
      </c>
      <c r="L79" s="2057" t="s">
        <v>1182</v>
      </c>
      <c r="M79" s="2059">
        <v>2</v>
      </c>
      <c r="N79" s="2059">
        <v>2</v>
      </c>
    </row>
    <row r="80" spans="1:14">
      <c r="A80" s="150" t="s">
        <v>1167</v>
      </c>
      <c r="B80" s="151">
        <v>0</v>
      </c>
      <c r="C80" s="152">
        <v>3900</v>
      </c>
      <c r="D80" s="152">
        <v>6900</v>
      </c>
      <c r="E80" s="152">
        <v>10800</v>
      </c>
      <c r="F80" s="170">
        <v>13800</v>
      </c>
      <c r="G80" s="162"/>
      <c r="J80" s="2057">
        <v>280463</v>
      </c>
      <c r="K80" s="2058">
        <v>630</v>
      </c>
      <c r="L80" s="2057" t="s">
        <v>1183</v>
      </c>
      <c r="M80" s="2059">
        <v>2</v>
      </c>
      <c r="N80" s="2059">
        <v>4</v>
      </c>
    </row>
    <row r="81" spans="1:14">
      <c r="A81" s="154" t="s">
        <v>1169</v>
      </c>
      <c r="B81" s="171">
        <v>0</v>
      </c>
      <c r="C81" s="172">
        <v>3600</v>
      </c>
      <c r="D81" s="172">
        <v>6300</v>
      </c>
      <c r="E81" s="172">
        <v>9900</v>
      </c>
      <c r="F81" s="173">
        <v>12600</v>
      </c>
      <c r="G81" s="162"/>
      <c r="J81" s="2057">
        <v>280464</v>
      </c>
      <c r="K81" s="2058">
        <v>336</v>
      </c>
      <c r="L81" s="2057" t="s">
        <v>1184</v>
      </c>
      <c r="M81" s="2059">
        <v>2</v>
      </c>
      <c r="N81" s="2059">
        <v>2</v>
      </c>
    </row>
    <row r="82" spans="1:14">
      <c r="A82" s="154" t="s">
        <v>437</v>
      </c>
      <c r="B82" s="171">
        <v>0</v>
      </c>
      <c r="C82" s="172">
        <v>3600</v>
      </c>
      <c r="D82" s="172">
        <v>6300</v>
      </c>
      <c r="E82" s="172">
        <v>9900</v>
      </c>
      <c r="F82" s="173">
        <v>12600</v>
      </c>
      <c r="G82" s="162"/>
      <c r="J82" s="2057">
        <v>280465</v>
      </c>
      <c r="K82" s="2058">
        <v>540</v>
      </c>
      <c r="L82" s="2057" t="s">
        <v>1185</v>
      </c>
      <c r="M82" s="2059">
        <v>3</v>
      </c>
      <c r="N82" s="2059">
        <v>4</v>
      </c>
    </row>
    <row r="83" spans="1:14">
      <c r="A83" s="162"/>
      <c r="B83" s="162"/>
      <c r="C83" s="162"/>
      <c r="D83" s="162"/>
      <c r="E83" s="162"/>
      <c r="F83" s="162"/>
      <c r="G83" s="162"/>
      <c r="J83" s="2057">
        <v>280466</v>
      </c>
      <c r="K83" s="2058">
        <v>510</v>
      </c>
      <c r="L83" s="2057" t="s">
        <v>1186</v>
      </c>
      <c r="M83" s="2059">
        <v>2</v>
      </c>
      <c r="N83" s="2059">
        <v>4</v>
      </c>
    </row>
    <row r="84" spans="1:14">
      <c r="A84" s="162"/>
      <c r="B84" s="162"/>
      <c r="C84" s="162"/>
      <c r="D84" s="162"/>
      <c r="E84" s="162"/>
      <c r="F84" s="162"/>
      <c r="G84" s="162"/>
      <c r="J84" s="2057">
        <v>280474</v>
      </c>
      <c r="K84" s="2058">
        <v>630</v>
      </c>
      <c r="L84" s="2057" t="s">
        <v>1187</v>
      </c>
      <c r="M84" s="2059">
        <v>2</v>
      </c>
      <c r="N84" s="2059">
        <v>4</v>
      </c>
    </row>
    <row r="85" spans="1:14">
      <c r="A85" s="162"/>
      <c r="B85" s="162">
        <f>B76/B64</f>
        <v>0</v>
      </c>
      <c r="C85" s="162">
        <f>C76/C64</f>
        <v>1.1072190683254822E-2</v>
      </c>
      <c r="D85" s="162">
        <f>D76/D64</f>
        <v>1.9124692998349235E-2</v>
      </c>
      <c r="E85" s="162">
        <f>E76/E64</f>
        <v>3.0196883681604059E-2</v>
      </c>
      <c r="F85" s="162">
        <f>F76/F64</f>
        <v>3.8249385996698471E-2</v>
      </c>
      <c r="G85" s="162"/>
      <c r="J85" s="2057">
        <v>305011</v>
      </c>
      <c r="K85" s="2058">
        <v>306</v>
      </c>
      <c r="L85" s="2057" t="s">
        <v>1188</v>
      </c>
      <c r="M85" s="2059">
        <v>2</v>
      </c>
      <c r="N85" s="2059">
        <v>2</v>
      </c>
    </row>
    <row r="86" spans="1:14">
      <c r="A86" s="162"/>
      <c r="B86" s="162">
        <v>0</v>
      </c>
      <c r="C86" s="162">
        <v>1.5</v>
      </c>
      <c r="D86" s="162">
        <v>2.5</v>
      </c>
      <c r="E86" s="162">
        <v>4</v>
      </c>
      <c r="F86" s="162">
        <v>5</v>
      </c>
      <c r="G86" s="162"/>
      <c r="J86" s="2057">
        <v>305012</v>
      </c>
      <c r="K86" s="2058">
        <v>306</v>
      </c>
      <c r="L86" s="2057" t="s">
        <v>1189</v>
      </c>
      <c r="M86" s="2059">
        <v>2</v>
      </c>
      <c r="N86" s="2059">
        <v>2</v>
      </c>
    </row>
    <row r="87" spans="1:14">
      <c r="A87" s="162"/>
      <c r="B87" s="162"/>
      <c r="C87" s="162"/>
      <c r="D87" s="162"/>
      <c r="E87" s="162"/>
      <c r="F87" s="162"/>
      <c r="G87" s="162"/>
      <c r="J87" s="2057">
        <v>305015</v>
      </c>
      <c r="K87" s="2058">
        <v>306</v>
      </c>
      <c r="L87" s="2057" t="s">
        <v>1190</v>
      </c>
      <c r="M87" s="2059">
        <v>2</v>
      </c>
      <c r="N87" s="2059">
        <v>2</v>
      </c>
    </row>
    <row r="88" spans="1:14">
      <c r="J88" s="2057">
        <v>305019</v>
      </c>
      <c r="K88" s="2058">
        <v>306</v>
      </c>
      <c r="L88" s="2057" t="s">
        <v>1191</v>
      </c>
      <c r="M88" s="2059">
        <v>2</v>
      </c>
      <c r="N88" s="2059">
        <v>2</v>
      </c>
    </row>
    <row r="89" spans="1:14">
      <c r="A89" s="188" t="s">
        <v>491</v>
      </c>
      <c r="B89" s="190" t="s">
        <v>1192</v>
      </c>
      <c r="C89" s="190" t="s">
        <v>1193</v>
      </c>
      <c r="J89" s="2057">
        <v>309004</v>
      </c>
      <c r="K89" s="2058">
        <v>326</v>
      </c>
      <c r="L89" s="2057" t="s">
        <v>1194</v>
      </c>
      <c r="M89" s="2059">
        <v>2</v>
      </c>
      <c r="N89" s="2059">
        <v>2</v>
      </c>
    </row>
    <row r="90" spans="1:14">
      <c r="A90" s="189" t="s">
        <v>455</v>
      </c>
      <c r="B90" s="141" t="s">
        <v>449</v>
      </c>
      <c r="C90" s="141" t="s">
        <v>455</v>
      </c>
      <c r="J90" s="2057">
        <v>317006</v>
      </c>
      <c r="K90" s="2058">
        <v>326</v>
      </c>
      <c r="L90" s="2057" t="s">
        <v>1195</v>
      </c>
      <c r="M90" s="2059">
        <v>2</v>
      </c>
      <c r="N90" s="2059">
        <v>2</v>
      </c>
    </row>
    <row r="91" spans="1:14">
      <c r="A91" s="189" t="s">
        <v>1196</v>
      </c>
      <c r="B91" s="141" t="s">
        <v>453</v>
      </c>
      <c r="C91" s="141" t="s">
        <v>456</v>
      </c>
      <c r="J91" s="2057">
        <v>319010</v>
      </c>
      <c r="K91" s="2058">
        <v>326</v>
      </c>
      <c r="L91" s="2057" t="s">
        <v>1197</v>
      </c>
      <c r="M91" s="2059">
        <v>2</v>
      </c>
      <c r="N91" s="2059">
        <v>2</v>
      </c>
    </row>
    <row r="92" spans="1:14">
      <c r="A92" s="189" t="s">
        <v>1198</v>
      </c>
      <c r="C92" s="141" t="s">
        <v>1199</v>
      </c>
      <c r="J92" s="2057">
        <v>323010</v>
      </c>
      <c r="K92" s="2058">
        <v>326</v>
      </c>
      <c r="L92" s="2057" t="s">
        <v>1200</v>
      </c>
      <c r="M92" s="2059">
        <v>2</v>
      </c>
      <c r="N92" s="2059">
        <v>2</v>
      </c>
    </row>
    <row r="93" spans="1:14">
      <c r="A93" s="189" t="s">
        <v>1201</v>
      </c>
      <c r="C93" s="141" t="s">
        <v>1202</v>
      </c>
      <c r="J93" s="2057">
        <v>323013</v>
      </c>
      <c r="K93" s="2058">
        <v>326</v>
      </c>
      <c r="L93" s="2057" t="s">
        <v>1203</v>
      </c>
      <c r="M93" s="2059">
        <v>2</v>
      </c>
      <c r="N93" s="2059">
        <v>2</v>
      </c>
    </row>
    <row r="94" spans="1:14">
      <c r="A94" s="189" t="s">
        <v>1204</v>
      </c>
      <c r="C94" s="141" t="s">
        <v>1205</v>
      </c>
      <c r="J94" s="2057">
        <v>325007</v>
      </c>
      <c r="K94" s="2058">
        <v>330</v>
      </c>
      <c r="L94" s="2057" t="s">
        <v>1206</v>
      </c>
      <c r="M94" s="2059">
        <v>3</v>
      </c>
      <c r="N94" s="2059">
        <v>2</v>
      </c>
    </row>
    <row r="95" spans="1:14">
      <c r="A95" s="189" t="s">
        <v>1207</v>
      </c>
      <c r="C95" s="141" t="s">
        <v>1208</v>
      </c>
      <c r="J95" s="2057">
        <v>325008</v>
      </c>
      <c r="K95" s="2058">
        <v>330</v>
      </c>
      <c r="L95" s="2057" t="s">
        <v>1209</v>
      </c>
      <c r="M95" s="2059">
        <v>3</v>
      </c>
      <c r="N95" s="2059">
        <v>2</v>
      </c>
    </row>
    <row r="96" spans="1:14">
      <c r="A96" s="189" t="s">
        <v>1210</v>
      </c>
      <c r="C96" s="141" t="s">
        <v>1211</v>
      </c>
      <c r="J96" s="2057">
        <v>329018</v>
      </c>
      <c r="K96" s="2058">
        <v>329</v>
      </c>
      <c r="L96" s="2057" t="s">
        <v>1212</v>
      </c>
      <c r="M96" s="2059" t="s">
        <v>381</v>
      </c>
      <c r="N96" s="2059">
        <v>2</v>
      </c>
    </row>
    <row r="97" spans="1:14">
      <c r="A97" s="189" t="s">
        <v>1213</v>
      </c>
      <c r="C97" s="141" t="s">
        <v>1214</v>
      </c>
      <c r="J97" s="2057">
        <v>329022</v>
      </c>
      <c r="K97" s="2058">
        <v>329</v>
      </c>
      <c r="L97" s="2057" t="s">
        <v>1215</v>
      </c>
      <c r="M97" s="2059" t="s">
        <v>381</v>
      </c>
      <c r="N97" s="2059">
        <v>2</v>
      </c>
    </row>
    <row r="98" spans="1:14">
      <c r="A98" s="189" t="s">
        <v>1216</v>
      </c>
      <c r="C98" s="141" t="s">
        <v>1217</v>
      </c>
      <c r="J98" s="2057">
        <v>331008</v>
      </c>
      <c r="K98" s="2058">
        <v>330</v>
      </c>
      <c r="L98" s="2057" t="s">
        <v>1218</v>
      </c>
      <c r="M98" s="2059">
        <v>3</v>
      </c>
      <c r="N98" s="2059">
        <v>2</v>
      </c>
    </row>
    <row r="99" spans="1:14">
      <c r="A99" s="189" t="s">
        <v>1219</v>
      </c>
      <c r="C99" s="141" t="s">
        <v>1220</v>
      </c>
      <c r="J99" s="2057">
        <v>333012</v>
      </c>
      <c r="K99" s="2058">
        <v>330</v>
      </c>
      <c r="L99" s="2057" t="s">
        <v>1221</v>
      </c>
      <c r="M99" s="2059">
        <v>3</v>
      </c>
      <c r="N99" s="2059">
        <v>2</v>
      </c>
    </row>
    <row r="100" spans="1:14">
      <c r="A100" s="189" t="s">
        <v>1222</v>
      </c>
      <c r="C100" s="141" t="s">
        <v>1223</v>
      </c>
      <c r="J100" s="2057">
        <v>333023</v>
      </c>
      <c r="K100" s="2058">
        <v>330</v>
      </c>
      <c r="L100" s="2057" t="s">
        <v>1224</v>
      </c>
      <c r="M100" s="2059">
        <v>3</v>
      </c>
      <c r="N100" s="2059">
        <v>2</v>
      </c>
    </row>
    <row r="101" spans="1:14">
      <c r="A101" s="189" t="s">
        <v>1225</v>
      </c>
      <c r="C101" s="141" t="s">
        <v>1226</v>
      </c>
      <c r="J101" s="2057">
        <v>345009</v>
      </c>
      <c r="K101" s="2058">
        <v>316</v>
      </c>
      <c r="L101" s="2057" t="s">
        <v>1227</v>
      </c>
      <c r="M101" s="2059">
        <v>2</v>
      </c>
      <c r="N101" s="2059">
        <v>2</v>
      </c>
    </row>
    <row r="102" spans="1:14">
      <c r="A102" s="189" t="s">
        <v>1228</v>
      </c>
      <c r="C102" s="141" t="s">
        <v>1229</v>
      </c>
      <c r="J102" s="2057">
        <v>361005</v>
      </c>
      <c r="K102" s="2058">
        <v>390</v>
      </c>
      <c r="L102" s="2057" t="s">
        <v>1230</v>
      </c>
      <c r="M102" s="2059">
        <v>2</v>
      </c>
      <c r="N102" s="2059">
        <v>2</v>
      </c>
    </row>
    <row r="103" spans="1:14">
      <c r="A103" s="189" t="s">
        <v>456</v>
      </c>
      <c r="C103" s="141" t="s">
        <v>1231</v>
      </c>
      <c r="J103" s="2057">
        <v>365012</v>
      </c>
      <c r="K103" s="2058">
        <v>390</v>
      </c>
      <c r="L103" s="2057" t="s">
        <v>1232</v>
      </c>
      <c r="M103" s="2059">
        <v>2</v>
      </c>
      <c r="N103" s="2059">
        <v>2</v>
      </c>
    </row>
    <row r="104" spans="1:14">
      <c r="A104" s="189" t="s">
        <v>1233</v>
      </c>
      <c r="C104" s="141" t="s">
        <v>1234</v>
      </c>
      <c r="J104" s="2057">
        <v>370001</v>
      </c>
      <c r="K104" s="2058">
        <v>370</v>
      </c>
      <c r="L104" s="2057" t="s">
        <v>1235</v>
      </c>
      <c r="M104" s="2059">
        <v>3</v>
      </c>
      <c r="N104" s="2059">
        <v>2</v>
      </c>
    </row>
    <row r="105" spans="1:14">
      <c r="A105" s="189" t="s">
        <v>1236</v>
      </c>
      <c r="C105" s="141" t="s">
        <v>1237</v>
      </c>
      <c r="J105" s="2057">
        <v>375005</v>
      </c>
      <c r="K105" s="2058">
        <v>376</v>
      </c>
      <c r="L105" s="2057" t="s">
        <v>1238</v>
      </c>
      <c r="M105" s="2059">
        <v>2</v>
      </c>
      <c r="N105" s="2059">
        <v>2</v>
      </c>
    </row>
    <row r="106" spans="1:14">
      <c r="A106" s="189" t="s">
        <v>1239</v>
      </c>
      <c r="J106" s="2057">
        <v>385004</v>
      </c>
      <c r="K106" s="2058">
        <v>320</v>
      </c>
      <c r="L106" s="2057" t="s">
        <v>1240</v>
      </c>
      <c r="M106" s="2059">
        <v>2</v>
      </c>
      <c r="N106" s="2059">
        <v>2</v>
      </c>
    </row>
    <row r="107" spans="1:14">
      <c r="A107" s="189" t="s">
        <v>1241</v>
      </c>
      <c r="J107" s="2057">
        <v>389009</v>
      </c>
      <c r="K107" s="2058">
        <v>336</v>
      </c>
      <c r="L107" s="2057" t="s">
        <v>1242</v>
      </c>
      <c r="M107" s="2059">
        <v>2</v>
      </c>
      <c r="N107" s="2059">
        <v>2</v>
      </c>
    </row>
    <row r="108" spans="1:14">
      <c r="A108" s="189" t="s">
        <v>1243</v>
      </c>
      <c r="J108" s="2057">
        <v>397010</v>
      </c>
      <c r="K108" s="2058">
        <v>390</v>
      </c>
      <c r="L108" s="2057" t="s">
        <v>1244</v>
      </c>
      <c r="M108" s="2059">
        <v>2</v>
      </c>
      <c r="N108" s="2059">
        <v>2</v>
      </c>
    </row>
    <row r="109" spans="1:14">
      <c r="A109" s="189" t="s">
        <v>1245</v>
      </c>
      <c r="J109" s="2057">
        <v>397014</v>
      </c>
      <c r="K109" s="2058">
        <v>390</v>
      </c>
      <c r="L109" s="2057" t="s">
        <v>1246</v>
      </c>
      <c r="M109" s="2059">
        <v>2</v>
      </c>
      <c r="N109" s="2059">
        <v>2</v>
      </c>
    </row>
    <row r="110" spans="1:14">
      <c r="A110" s="189" t="s">
        <v>1247</v>
      </c>
      <c r="J110" s="2057">
        <v>400038</v>
      </c>
      <c r="K110" s="2058">
        <v>400</v>
      </c>
      <c r="L110" s="2057" t="s">
        <v>1248</v>
      </c>
      <c r="M110" s="2059" t="s">
        <v>381</v>
      </c>
      <c r="N110" s="2059">
        <v>1</v>
      </c>
    </row>
    <row r="111" spans="1:14">
      <c r="A111" s="189" t="s">
        <v>1249</v>
      </c>
      <c r="J111" s="2057">
        <v>425005</v>
      </c>
      <c r="K111" s="2058">
        <v>430</v>
      </c>
      <c r="L111" s="2057" t="s">
        <v>1250</v>
      </c>
      <c r="M111" s="2059">
        <v>3</v>
      </c>
      <c r="N111" s="2059">
        <v>3</v>
      </c>
    </row>
    <row r="112" spans="1:14">
      <c r="A112" s="189" t="s">
        <v>1251</v>
      </c>
      <c r="J112" s="2057">
        <v>427009</v>
      </c>
      <c r="K112" s="2058">
        <v>479</v>
      </c>
      <c r="L112" s="2057" t="s">
        <v>1252</v>
      </c>
      <c r="M112" s="2059" t="s">
        <v>381</v>
      </c>
      <c r="N112" s="2059">
        <v>3</v>
      </c>
    </row>
    <row r="113" spans="1:14">
      <c r="A113" s="189" t="s">
        <v>1253</v>
      </c>
      <c r="J113" s="2057">
        <v>427010</v>
      </c>
      <c r="K113" s="2058">
        <v>479</v>
      </c>
      <c r="L113" s="2057" t="s">
        <v>1254</v>
      </c>
      <c r="M113" s="2059" t="s">
        <v>381</v>
      </c>
      <c r="N113" s="2059">
        <v>3</v>
      </c>
    </row>
    <row r="114" spans="1:14">
      <c r="A114" s="189" t="s">
        <v>1255</v>
      </c>
      <c r="J114" s="2057">
        <v>431011</v>
      </c>
      <c r="K114" s="2058">
        <v>430</v>
      </c>
      <c r="L114" s="2057" t="s">
        <v>1256</v>
      </c>
      <c r="M114" s="2059">
        <v>3</v>
      </c>
      <c r="N114" s="2059">
        <v>3</v>
      </c>
    </row>
    <row r="115" spans="1:14">
      <c r="A115" s="189" t="s">
        <v>1257</v>
      </c>
      <c r="J115" s="2057">
        <v>431014</v>
      </c>
      <c r="K115" s="2058">
        <v>430</v>
      </c>
      <c r="L115" s="2057" t="s">
        <v>1258</v>
      </c>
      <c r="M115" s="2059">
        <v>3</v>
      </c>
      <c r="N115" s="2059">
        <v>3</v>
      </c>
    </row>
    <row r="116" spans="1:14">
      <c r="A116" s="189" t="s">
        <v>1217</v>
      </c>
      <c r="J116" s="2057">
        <v>433005</v>
      </c>
      <c r="K116" s="2058">
        <v>420</v>
      </c>
      <c r="L116" s="2057" t="s">
        <v>1259</v>
      </c>
      <c r="M116" s="2059">
        <v>2</v>
      </c>
      <c r="N116" s="2059">
        <v>3</v>
      </c>
    </row>
    <row r="117" spans="1:14">
      <c r="J117" s="2057">
        <v>433008</v>
      </c>
      <c r="K117" s="2058">
        <v>420</v>
      </c>
      <c r="L117" s="2057" t="s">
        <v>1260</v>
      </c>
      <c r="M117" s="2059">
        <v>2</v>
      </c>
      <c r="N117" s="2059">
        <v>3</v>
      </c>
    </row>
    <row r="118" spans="1:14">
      <c r="J118" s="2057">
        <v>435006</v>
      </c>
      <c r="K118" s="2058">
        <v>479</v>
      </c>
      <c r="L118" s="2057" t="s">
        <v>1261</v>
      </c>
      <c r="M118" s="2059" t="s">
        <v>381</v>
      </c>
      <c r="N118" s="2059">
        <v>3</v>
      </c>
    </row>
    <row r="119" spans="1:14">
      <c r="J119" s="2057">
        <v>437004</v>
      </c>
      <c r="K119" s="2058">
        <v>420</v>
      </c>
      <c r="L119" s="2057" t="s">
        <v>1262</v>
      </c>
      <c r="M119" s="2059">
        <v>2</v>
      </c>
      <c r="N119" s="2059">
        <v>3</v>
      </c>
    </row>
    <row r="120" spans="1:14">
      <c r="J120" s="2057">
        <v>439007</v>
      </c>
      <c r="K120" s="2058">
        <v>440</v>
      </c>
      <c r="L120" s="2057" t="s">
        <v>1263</v>
      </c>
      <c r="M120" s="2059">
        <v>3</v>
      </c>
      <c r="N120" s="2059">
        <v>3</v>
      </c>
    </row>
    <row r="121" spans="1:14">
      <c r="J121" s="2057">
        <v>445009</v>
      </c>
      <c r="K121" s="2058">
        <v>410</v>
      </c>
      <c r="L121" s="2057" t="s">
        <v>1264</v>
      </c>
      <c r="M121" s="2059">
        <v>2</v>
      </c>
      <c r="N121" s="2059">
        <v>3</v>
      </c>
    </row>
    <row r="122" spans="1:14">
      <c r="J122" s="2057">
        <v>445010</v>
      </c>
      <c r="K122" s="2058">
        <v>410</v>
      </c>
      <c r="L122" s="2057" t="s">
        <v>1265</v>
      </c>
      <c r="M122" s="2059">
        <v>2</v>
      </c>
      <c r="N122" s="2059">
        <v>3</v>
      </c>
    </row>
    <row r="123" spans="1:14">
      <c r="J123" s="2057">
        <v>461041</v>
      </c>
      <c r="K123" s="2058">
        <v>461</v>
      </c>
      <c r="L123" s="2057" t="s">
        <v>1266</v>
      </c>
      <c r="M123" s="2059" t="s">
        <v>382</v>
      </c>
      <c r="N123" s="2059">
        <v>3</v>
      </c>
    </row>
    <row r="124" spans="1:14">
      <c r="J124" s="2057">
        <v>461044</v>
      </c>
      <c r="K124" s="2058">
        <v>461</v>
      </c>
      <c r="L124" s="2057" t="s">
        <v>1267</v>
      </c>
      <c r="M124" s="2059" t="s">
        <v>382</v>
      </c>
      <c r="N124" s="2059">
        <v>3</v>
      </c>
    </row>
    <row r="125" spans="1:14">
      <c r="J125" s="2057">
        <v>461046</v>
      </c>
      <c r="K125" s="2058">
        <v>461</v>
      </c>
      <c r="L125" s="2057" t="s">
        <v>1268</v>
      </c>
      <c r="M125" s="2059" t="s">
        <v>382</v>
      </c>
      <c r="N125" s="2059">
        <v>3</v>
      </c>
    </row>
    <row r="126" spans="1:14">
      <c r="J126" s="2057">
        <v>461047</v>
      </c>
      <c r="K126" s="2058">
        <v>461</v>
      </c>
      <c r="L126" s="2057" t="s">
        <v>1269</v>
      </c>
      <c r="M126" s="2059" t="s">
        <v>382</v>
      </c>
      <c r="N126" s="2059">
        <v>3</v>
      </c>
    </row>
    <row r="127" spans="1:14">
      <c r="J127" s="2057">
        <v>461054</v>
      </c>
      <c r="K127" s="2058">
        <v>461</v>
      </c>
      <c r="L127" s="2057" t="s">
        <v>1270</v>
      </c>
      <c r="M127" s="2059" t="s">
        <v>382</v>
      </c>
      <c r="N127" s="2059">
        <v>3</v>
      </c>
    </row>
    <row r="128" spans="1:14">
      <c r="J128" s="2057">
        <v>461070</v>
      </c>
      <c r="K128" s="2058">
        <v>461</v>
      </c>
      <c r="L128" s="2057" t="s">
        <v>1271</v>
      </c>
      <c r="M128" s="2059" t="s">
        <v>382</v>
      </c>
      <c r="N128" s="2059">
        <v>3</v>
      </c>
    </row>
    <row r="129" spans="10:14">
      <c r="J129" s="2057">
        <v>461078</v>
      </c>
      <c r="K129" s="2058">
        <v>461</v>
      </c>
      <c r="L129" s="2057" t="s">
        <v>1272</v>
      </c>
      <c r="M129" s="2059" t="s">
        <v>382</v>
      </c>
      <c r="N129" s="2059">
        <v>3</v>
      </c>
    </row>
    <row r="130" spans="10:14">
      <c r="J130" s="2057">
        <v>461079</v>
      </c>
      <c r="K130" s="2058">
        <v>461</v>
      </c>
      <c r="L130" s="2057" t="s">
        <v>1273</v>
      </c>
      <c r="M130" s="2059" t="s">
        <v>382</v>
      </c>
      <c r="N130" s="2059">
        <v>3</v>
      </c>
    </row>
    <row r="131" spans="10:14">
      <c r="J131" s="2057">
        <v>461080</v>
      </c>
      <c r="K131" s="2058">
        <v>461</v>
      </c>
      <c r="L131" s="2057" t="s">
        <v>1274</v>
      </c>
      <c r="M131" s="2059" t="s">
        <v>382</v>
      </c>
      <c r="N131" s="2059">
        <v>3</v>
      </c>
    </row>
    <row r="132" spans="10:14">
      <c r="J132" s="2057">
        <v>461109</v>
      </c>
      <c r="K132" s="2058">
        <v>461</v>
      </c>
      <c r="L132" s="2057" t="s">
        <v>1275</v>
      </c>
      <c r="M132" s="2059" t="s">
        <v>382</v>
      </c>
      <c r="N132" s="2059">
        <v>3</v>
      </c>
    </row>
    <row r="133" spans="10:14">
      <c r="J133" s="2057">
        <v>473011</v>
      </c>
      <c r="K133" s="2058">
        <v>430</v>
      </c>
      <c r="L133" s="2057" t="s">
        <v>1276</v>
      </c>
      <c r="M133" s="2059">
        <v>3</v>
      </c>
      <c r="N133" s="2059">
        <v>3</v>
      </c>
    </row>
    <row r="134" spans="10:14">
      <c r="J134" s="2057">
        <v>473012</v>
      </c>
      <c r="K134" s="2058">
        <v>430</v>
      </c>
      <c r="L134" s="2057" t="s">
        <v>1277</v>
      </c>
      <c r="M134" s="2059">
        <v>3</v>
      </c>
      <c r="N134" s="2059">
        <v>3</v>
      </c>
    </row>
    <row r="135" spans="10:14">
      <c r="J135" s="2057">
        <v>473013</v>
      </c>
      <c r="K135" s="2058">
        <v>430</v>
      </c>
      <c r="L135" s="2057" t="s">
        <v>1278</v>
      </c>
      <c r="M135" s="2059">
        <v>3</v>
      </c>
      <c r="N135" s="2059">
        <v>3</v>
      </c>
    </row>
    <row r="136" spans="10:14">
      <c r="J136" s="2057">
        <v>473015</v>
      </c>
      <c r="K136" s="2058">
        <v>430</v>
      </c>
      <c r="L136" s="2057" t="s">
        <v>1279</v>
      </c>
      <c r="M136" s="2059">
        <v>3</v>
      </c>
      <c r="N136" s="2059">
        <v>3</v>
      </c>
    </row>
    <row r="137" spans="10:14">
      <c r="J137" s="2057">
        <v>473022</v>
      </c>
      <c r="K137" s="2058">
        <v>430</v>
      </c>
      <c r="L137" s="2057" t="s">
        <v>1280</v>
      </c>
      <c r="M137" s="2059">
        <v>3</v>
      </c>
      <c r="N137" s="2059">
        <v>3</v>
      </c>
    </row>
    <row r="138" spans="10:14">
      <c r="J138" s="2057">
        <v>475004</v>
      </c>
      <c r="K138" s="2058">
        <v>482</v>
      </c>
      <c r="L138" s="2057" t="s">
        <v>1281</v>
      </c>
      <c r="M138" s="2059">
        <v>2</v>
      </c>
      <c r="N138" s="2059">
        <v>3</v>
      </c>
    </row>
    <row r="139" spans="10:14">
      <c r="J139" s="2057">
        <v>477004</v>
      </c>
      <c r="K139" s="2058">
        <v>430</v>
      </c>
      <c r="L139" s="2057" t="s">
        <v>1282</v>
      </c>
      <c r="M139" s="2059">
        <v>3</v>
      </c>
      <c r="N139" s="2059">
        <v>3</v>
      </c>
    </row>
    <row r="140" spans="10:14">
      <c r="J140" s="2057">
        <v>477005</v>
      </c>
      <c r="K140" s="2058">
        <v>430</v>
      </c>
      <c r="L140" s="2057" t="s">
        <v>1283</v>
      </c>
      <c r="M140" s="2059">
        <v>3</v>
      </c>
      <c r="N140" s="2059">
        <v>3</v>
      </c>
    </row>
    <row r="141" spans="10:14">
      <c r="J141" s="2057">
        <v>477006</v>
      </c>
      <c r="K141" s="2058">
        <v>430</v>
      </c>
      <c r="L141" s="2057" t="s">
        <v>1284</v>
      </c>
      <c r="M141" s="2059">
        <v>3</v>
      </c>
      <c r="N141" s="2059">
        <v>3</v>
      </c>
    </row>
    <row r="142" spans="10:14">
      <c r="J142" s="2057">
        <v>479016</v>
      </c>
      <c r="K142" s="2058">
        <v>479</v>
      </c>
      <c r="L142" s="2057" t="s">
        <v>1285</v>
      </c>
      <c r="M142" s="2059" t="s">
        <v>381</v>
      </c>
      <c r="N142" s="2059">
        <v>3</v>
      </c>
    </row>
    <row r="143" spans="10:14">
      <c r="J143" s="2057">
        <v>482001</v>
      </c>
      <c r="K143" s="2058">
        <v>482</v>
      </c>
      <c r="L143" s="2057" t="s">
        <v>1286</v>
      </c>
      <c r="M143" s="2059">
        <v>2</v>
      </c>
      <c r="N143" s="2059">
        <v>3</v>
      </c>
    </row>
    <row r="144" spans="10:14">
      <c r="J144" s="2057">
        <v>492001</v>
      </c>
      <c r="K144" s="2058">
        <v>492</v>
      </c>
      <c r="L144" s="2057" t="s">
        <v>1287</v>
      </c>
      <c r="M144" s="2059">
        <v>2</v>
      </c>
      <c r="N144" s="2059">
        <v>3</v>
      </c>
    </row>
    <row r="145" spans="10:14">
      <c r="J145" s="2057">
        <v>495006</v>
      </c>
      <c r="K145" s="2058">
        <v>450</v>
      </c>
      <c r="L145" s="2057" t="s">
        <v>1288</v>
      </c>
      <c r="M145" s="2059">
        <v>3</v>
      </c>
      <c r="N145" s="2059">
        <v>3</v>
      </c>
    </row>
    <row r="146" spans="10:14">
      <c r="J146" s="2057">
        <v>495007</v>
      </c>
      <c r="K146" s="2058">
        <v>450</v>
      </c>
      <c r="L146" s="2057" t="s">
        <v>1289</v>
      </c>
      <c r="M146" s="2059">
        <v>3</v>
      </c>
      <c r="N146" s="2059">
        <v>3</v>
      </c>
    </row>
    <row r="147" spans="10:14">
      <c r="J147" s="2057">
        <v>497005</v>
      </c>
      <c r="K147" s="2058">
        <v>430</v>
      </c>
      <c r="L147" s="2057" t="s">
        <v>1290</v>
      </c>
      <c r="M147" s="2059">
        <v>3</v>
      </c>
      <c r="N147" s="2059">
        <v>3</v>
      </c>
    </row>
    <row r="148" spans="10:14">
      <c r="J148" s="2057">
        <v>497006</v>
      </c>
      <c r="K148" s="2058">
        <v>430</v>
      </c>
      <c r="L148" s="2057" t="s">
        <v>1291</v>
      </c>
      <c r="M148" s="2059">
        <v>3</v>
      </c>
      <c r="N148" s="2059">
        <v>3</v>
      </c>
    </row>
    <row r="149" spans="10:14">
      <c r="J149" s="2057">
        <v>497007</v>
      </c>
      <c r="K149" s="2058">
        <v>430</v>
      </c>
      <c r="L149" s="2057" t="s">
        <v>1292</v>
      </c>
      <c r="M149" s="2059">
        <v>3</v>
      </c>
      <c r="N149" s="2059">
        <v>3</v>
      </c>
    </row>
    <row r="150" spans="10:14">
      <c r="J150" s="2057">
        <v>499005</v>
      </c>
      <c r="K150" s="2058">
        <v>420</v>
      </c>
      <c r="L150" s="2057" t="s">
        <v>1293</v>
      </c>
      <c r="M150" s="2059">
        <v>2</v>
      </c>
      <c r="N150" s="2059">
        <v>3</v>
      </c>
    </row>
    <row r="151" spans="10:14">
      <c r="J151" s="2057">
        <v>501003</v>
      </c>
      <c r="K151" s="2058">
        <v>540</v>
      </c>
      <c r="L151" s="2057" t="s">
        <v>1294</v>
      </c>
      <c r="M151" s="2059">
        <v>3</v>
      </c>
      <c r="N151" s="2059">
        <v>4</v>
      </c>
    </row>
    <row r="152" spans="10:14">
      <c r="J152" s="2057">
        <v>509011</v>
      </c>
      <c r="K152" s="2058">
        <v>510</v>
      </c>
      <c r="L152" s="2057" t="s">
        <v>1295</v>
      </c>
      <c r="M152" s="2059">
        <v>2</v>
      </c>
      <c r="N152" s="2059">
        <v>4</v>
      </c>
    </row>
    <row r="153" spans="10:14">
      <c r="J153" s="2057">
        <v>510006</v>
      </c>
      <c r="K153" s="2058">
        <v>510</v>
      </c>
      <c r="L153" s="2057" t="s">
        <v>1296</v>
      </c>
      <c r="M153" s="2059">
        <v>2</v>
      </c>
      <c r="N153" s="2059">
        <v>4</v>
      </c>
    </row>
    <row r="154" spans="10:14">
      <c r="J154" s="2057">
        <v>511005</v>
      </c>
      <c r="K154" s="2058">
        <v>510</v>
      </c>
      <c r="L154" s="2057" t="s">
        <v>1297</v>
      </c>
      <c r="M154" s="2059">
        <v>2</v>
      </c>
      <c r="N154" s="2059">
        <v>4</v>
      </c>
    </row>
    <row r="155" spans="10:14">
      <c r="J155" s="2057">
        <v>513008</v>
      </c>
      <c r="K155" s="2058">
        <v>540</v>
      </c>
      <c r="L155" s="2057" t="s">
        <v>1298</v>
      </c>
      <c r="M155" s="2059">
        <v>3</v>
      </c>
      <c r="N155" s="2059">
        <v>4</v>
      </c>
    </row>
    <row r="156" spans="10:14">
      <c r="J156" s="2057">
        <v>519008</v>
      </c>
      <c r="K156" s="2058">
        <v>580</v>
      </c>
      <c r="L156" s="2057" t="s">
        <v>1299</v>
      </c>
      <c r="M156" s="2059">
        <v>2</v>
      </c>
      <c r="N156" s="2059">
        <v>4</v>
      </c>
    </row>
    <row r="157" spans="10:14">
      <c r="J157" s="2057">
        <v>521011</v>
      </c>
      <c r="K157" s="2058">
        <v>550</v>
      </c>
      <c r="L157" s="2057" t="s">
        <v>1300</v>
      </c>
      <c r="M157" s="2059">
        <v>2</v>
      </c>
      <c r="N157" s="2059">
        <v>4</v>
      </c>
    </row>
    <row r="158" spans="10:14">
      <c r="J158" s="2057">
        <v>523012</v>
      </c>
      <c r="K158" s="2058">
        <v>540</v>
      </c>
      <c r="L158" s="2057" t="s">
        <v>1301</v>
      </c>
      <c r="M158" s="2059">
        <v>3</v>
      </c>
      <c r="N158" s="2059">
        <v>4</v>
      </c>
    </row>
    <row r="159" spans="10:14">
      <c r="J159" s="2057">
        <v>523013</v>
      </c>
      <c r="K159" s="2058">
        <v>540</v>
      </c>
      <c r="L159" s="2057" t="s">
        <v>1302</v>
      </c>
      <c r="M159" s="2059">
        <v>3</v>
      </c>
      <c r="N159" s="2059">
        <v>4</v>
      </c>
    </row>
    <row r="160" spans="10:14">
      <c r="J160" s="2057">
        <v>527008</v>
      </c>
      <c r="K160" s="2058">
        <v>575</v>
      </c>
      <c r="L160" s="2057" t="s">
        <v>1303</v>
      </c>
      <c r="M160" s="2059" t="s">
        <v>381</v>
      </c>
      <c r="N160" s="2059">
        <v>4</v>
      </c>
    </row>
    <row r="161" spans="10:14">
      <c r="J161" s="2057">
        <v>531008</v>
      </c>
      <c r="K161" s="2058">
        <v>550</v>
      </c>
      <c r="L161" s="2057" t="s">
        <v>1304</v>
      </c>
      <c r="M161" s="2059">
        <v>2</v>
      </c>
      <c r="N161" s="2059">
        <v>4</v>
      </c>
    </row>
    <row r="162" spans="10:14">
      <c r="J162" s="2057">
        <v>533005</v>
      </c>
      <c r="K162" s="2058">
        <v>540</v>
      </c>
      <c r="L162" s="2057" t="s">
        <v>1305</v>
      </c>
      <c r="M162" s="2059">
        <v>3</v>
      </c>
      <c r="N162" s="2059">
        <v>4</v>
      </c>
    </row>
    <row r="163" spans="10:14">
      <c r="J163" s="2057">
        <v>535007</v>
      </c>
      <c r="K163" s="2058">
        <v>540</v>
      </c>
      <c r="L163" s="2057" t="s">
        <v>1306</v>
      </c>
      <c r="M163" s="2059">
        <v>3</v>
      </c>
      <c r="N163" s="2059">
        <v>4</v>
      </c>
    </row>
    <row r="164" spans="10:14">
      <c r="J164" s="2057">
        <v>545011</v>
      </c>
      <c r="K164" s="2058">
        <v>580</v>
      </c>
      <c r="L164" s="2057" t="s">
        <v>1307</v>
      </c>
      <c r="M164" s="2059">
        <v>2</v>
      </c>
      <c r="N164" s="2059">
        <v>4</v>
      </c>
    </row>
    <row r="165" spans="10:14">
      <c r="J165" s="2057">
        <v>550001</v>
      </c>
      <c r="K165" s="2058">
        <v>550</v>
      </c>
      <c r="L165" s="2057" t="s">
        <v>1308</v>
      </c>
      <c r="M165" s="2059">
        <v>2</v>
      </c>
      <c r="N165" s="2059">
        <v>4</v>
      </c>
    </row>
    <row r="166" spans="10:14">
      <c r="J166" s="2057">
        <v>553009</v>
      </c>
      <c r="K166" s="2058">
        <v>573</v>
      </c>
      <c r="L166" s="2057" t="s">
        <v>1309</v>
      </c>
      <c r="M166" s="2059" t="s">
        <v>381</v>
      </c>
      <c r="N166" s="2059">
        <v>4</v>
      </c>
    </row>
    <row r="167" spans="10:14">
      <c r="J167" s="2057">
        <v>553010</v>
      </c>
      <c r="K167" s="2058">
        <v>573</v>
      </c>
      <c r="L167" s="2057" t="s">
        <v>1310</v>
      </c>
      <c r="M167" s="2059" t="s">
        <v>381</v>
      </c>
      <c r="N167" s="2059">
        <v>4</v>
      </c>
    </row>
    <row r="168" spans="10:14">
      <c r="J168" s="2057">
        <v>557007</v>
      </c>
      <c r="K168" s="2058">
        <v>561</v>
      </c>
      <c r="L168" s="2057" t="s">
        <v>1311</v>
      </c>
      <c r="M168" s="2059">
        <v>3</v>
      </c>
      <c r="N168" s="2059">
        <v>4</v>
      </c>
    </row>
    <row r="169" spans="10:14">
      <c r="J169" s="2057">
        <v>559007</v>
      </c>
      <c r="K169" s="2058">
        <v>575</v>
      </c>
      <c r="L169" s="2057" t="s">
        <v>1312</v>
      </c>
      <c r="M169" s="2059" t="s">
        <v>381</v>
      </c>
      <c r="N169" s="2059">
        <v>4</v>
      </c>
    </row>
    <row r="170" spans="10:14">
      <c r="J170" s="2057">
        <v>573012</v>
      </c>
      <c r="K170" s="2058">
        <v>573</v>
      </c>
      <c r="L170" s="2057" t="s">
        <v>1313</v>
      </c>
      <c r="M170" s="2059" t="s">
        <v>381</v>
      </c>
      <c r="N170" s="2059">
        <v>4</v>
      </c>
    </row>
    <row r="171" spans="10:14">
      <c r="J171" s="2057">
        <v>575013</v>
      </c>
      <c r="K171" s="2058">
        <v>575</v>
      </c>
      <c r="L171" s="2057" t="s">
        <v>1314</v>
      </c>
      <c r="M171" s="2059" t="s">
        <v>381</v>
      </c>
      <c r="N171" s="2059">
        <v>4</v>
      </c>
    </row>
    <row r="172" spans="10:14">
      <c r="J172" s="2057">
        <v>601008</v>
      </c>
      <c r="K172" s="2058">
        <v>615</v>
      </c>
      <c r="L172" s="2057" t="s">
        <v>1315</v>
      </c>
      <c r="M172" s="2059" t="s">
        <v>381</v>
      </c>
      <c r="N172" s="2059">
        <v>5</v>
      </c>
    </row>
    <row r="173" spans="10:14">
      <c r="J173" s="2057">
        <v>601009</v>
      </c>
      <c r="K173" s="2058">
        <v>615</v>
      </c>
      <c r="L173" s="2057" t="s">
        <v>1316</v>
      </c>
      <c r="M173" s="2059" t="s">
        <v>381</v>
      </c>
      <c r="N173" s="2059">
        <v>5</v>
      </c>
    </row>
    <row r="174" spans="10:14">
      <c r="J174" s="2057">
        <v>605009</v>
      </c>
      <c r="K174" s="2058">
        <v>630</v>
      </c>
      <c r="L174" s="2057" t="s">
        <v>1317</v>
      </c>
      <c r="M174" s="2059">
        <v>2</v>
      </c>
      <c r="N174" s="2059">
        <v>4</v>
      </c>
    </row>
    <row r="175" spans="10:14">
      <c r="J175" s="2057">
        <v>607022</v>
      </c>
      <c r="K175" s="2058">
        <v>607</v>
      </c>
      <c r="L175" s="2057" t="s">
        <v>1318</v>
      </c>
      <c r="M175" s="2059" t="s">
        <v>381</v>
      </c>
      <c r="N175" s="2059">
        <v>4</v>
      </c>
    </row>
    <row r="176" spans="10:14">
      <c r="J176" s="2057">
        <v>609005</v>
      </c>
      <c r="K176" s="2058">
        <v>615</v>
      </c>
      <c r="L176" s="2057" t="s">
        <v>1319</v>
      </c>
      <c r="M176" s="2059" t="s">
        <v>381</v>
      </c>
      <c r="N176" s="2059">
        <v>5</v>
      </c>
    </row>
    <row r="177" spans="10:14">
      <c r="J177" s="2057">
        <v>611011</v>
      </c>
      <c r="K177" s="2058">
        <v>630</v>
      </c>
      <c r="L177" s="2057" t="s">
        <v>1320</v>
      </c>
      <c r="M177" s="2059">
        <v>2</v>
      </c>
      <c r="N177" s="2059">
        <v>4</v>
      </c>
    </row>
    <row r="178" spans="10:14">
      <c r="J178" s="2057">
        <v>611013</v>
      </c>
      <c r="K178" s="2058">
        <v>630</v>
      </c>
      <c r="L178" s="2057" t="s">
        <v>1321</v>
      </c>
      <c r="M178" s="2059">
        <v>2</v>
      </c>
      <c r="N178" s="2059">
        <v>4</v>
      </c>
    </row>
    <row r="179" spans="10:14">
      <c r="J179" s="2057">
        <v>619017</v>
      </c>
      <c r="K179" s="2058">
        <v>766</v>
      </c>
      <c r="L179" s="2057" t="s">
        <v>1322</v>
      </c>
      <c r="M179" s="2059">
        <v>2</v>
      </c>
      <c r="N179" s="2059">
        <v>5</v>
      </c>
    </row>
    <row r="180" spans="10:14">
      <c r="J180" s="2057">
        <v>621024</v>
      </c>
      <c r="K180" s="2058">
        <v>621</v>
      </c>
      <c r="L180" s="2057" t="s">
        <v>1323</v>
      </c>
      <c r="M180" s="2059" t="s">
        <v>381</v>
      </c>
      <c r="N180" s="2059">
        <v>4</v>
      </c>
    </row>
    <row r="181" spans="10:14">
      <c r="J181" s="2057">
        <v>625005</v>
      </c>
      <c r="K181" s="2058">
        <v>756</v>
      </c>
      <c r="L181" s="2057" t="s">
        <v>1324</v>
      </c>
      <c r="M181" s="2059">
        <v>2</v>
      </c>
      <c r="N181" s="2059">
        <v>5</v>
      </c>
    </row>
    <row r="182" spans="10:14">
      <c r="J182" s="2057">
        <v>625006</v>
      </c>
      <c r="K182" s="2058">
        <v>756</v>
      </c>
      <c r="L182" s="2057" t="s">
        <v>1325</v>
      </c>
      <c r="M182" s="2059">
        <v>2</v>
      </c>
      <c r="N182" s="2059">
        <v>5</v>
      </c>
    </row>
    <row r="183" spans="10:14">
      <c r="J183" s="2057">
        <v>625007</v>
      </c>
      <c r="K183" s="2058">
        <v>756</v>
      </c>
      <c r="L183" s="2057" t="s">
        <v>1326</v>
      </c>
      <c r="M183" s="2059">
        <v>2</v>
      </c>
      <c r="N183" s="2059">
        <v>5</v>
      </c>
    </row>
    <row r="184" spans="10:14">
      <c r="J184" s="2057">
        <v>627008</v>
      </c>
      <c r="K184" s="2058">
        <v>630</v>
      </c>
      <c r="L184" s="2057" t="s">
        <v>1327</v>
      </c>
      <c r="M184" s="2059">
        <v>2</v>
      </c>
      <c r="N184" s="2059">
        <v>4</v>
      </c>
    </row>
    <row r="185" spans="10:14">
      <c r="J185" s="2057">
        <v>631023</v>
      </c>
      <c r="K185" s="2058">
        <v>630</v>
      </c>
      <c r="L185" s="2057" t="s">
        <v>1328</v>
      </c>
      <c r="M185" s="2059">
        <v>2</v>
      </c>
      <c r="N185" s="2059">
        <v>4</v>
      </c>
    </row>
    <row r="186" spans="10:14">
      <c r="J186" s="2057">
        <v>631024</v>
      </c>
      <c r="K186" s="2058">
        <v>630</v>
      </c>
      <c r="L186" s="2057" t="s">
        <v>1329</v>
      </c>
      <c r="M186" s="2059">
        <v>2</v>
      </c>
      <c r="N186" s="2059">
        <v>4</v>
      </c>
    </row>
    <row r="187" spans="10:14">
      <c r="J187" s="2057">
        <v>653006</v>
      </c>
      <c r="K187" s="2058">
        <v>756</v>
      </c>
      <c r="L187" s="2057" t="s">
        <v>1330</v>
      </c>
      <c r="M187" s="2059">
        <v>2</v>
      </c>
      <c r="N187" s="2059">
        <v>5</v>
      </c>
    </row>
    <row r="188" spans="10:14">
      <c r="J188" s="2057">
        <v>655012</v>
      </c>
      <c r="K188" s="2058">
        <v>760</v>
      </c>
      <c r="L188" s="2057" t="s">
        <v>1331</v>
      </c>
      <c r="M188" s="2059">
        <v>2</v>
      </c>
      <c r="N188" s="2059">
        <v>5</v>
      </c>
    </row>
    <row r="189" spans="10:14">
      <c r="J189" s="2057">
        <v>655013</v>
      </c>
      <c r="K189" s="2058">
        <v>760</v>
      </c>
      <c r="L189" s="2057" t="s">
        <v>1332</v>
      </c>
      <c r="M189" s="2059">
        <v>2</v>
      </c>
      <c r="N189" s="2059">
        <v>5</v>
      </c>
    </row>
    <row r="190" spans="10:14">
      <c r="J190" s="2057">
        <v>657024</v>
      </c>
      <c r="K190" s="2058">
        <v>657</v>
      </c>
      <c r="L190" s="2057" t="s">
        <v>1333</v>
      </c>
      <c r="M190" s="2059" t="s">
        <v>381</v>
      </c>
      <c r="N190" s="2059">
        <v>5</v>
      </c>
    </row>
    <row r="191" spans="10:14">
      <c r="J191" s="2057">
        <v>657025</v>
      </c>
      <c r="K191" s="2058">
        <v>657</v>
      </c>
      <c r="L191" s="2057" t="s">
        <v>1334</v>
      </c>
      <c r="M191" s="2059" t="s">
        <v>381</v>
      </c>
      <c r="N191" s="2059">
        <v>5</v>
      </c>
    </row>
    <row r="192" spans="10:14">
      <c r="J192" s="2057">
        <v>657036</v>
      </c>
      <c r="K192" s="2058">
        <v>657</v>
      </c>
      <c r="L192" s="2057" t="s">
        <v>1335</v>
      </c>
      <c r="M192" s="2059" t="s">
        <v>381</v>
      </c>
      <c r="N192" s="2059">
        <v>5</v>
      </c>
    </row>
    <row r="193" spans="10:14">
      <c r="J193" s="2057">
        <v>657038</v>
      </c>
      <c r="K193" s="2058">
        <v>657</v>
      </c>
      <c r="L193" s="2057" t="s">
        <v>1336</v>
      </c>
      <c r="M193" s="2059" t="s">
        <v>381</v>
      </c>
      <c r="N193" s="2059">
        <v>5</v>
      </c>
    </row>
    <row r="194" spans="10:14">
      <c r="J194" s="2057">
        <v>657042</v>
      </c>
      <c r="K194" s="2058">
        <v>657</v>
      </c>
      <c r="L194" s="2057" t="s">
        <v>1337</v>
      </c>
      <c r="M194" s="2059" t="s">
        <v>381</v>
      </c>
      <c r="N194" s="2059">
        <v>5</v>
      </c>
    </row>
    <row r="195" spans="10:14">
      <c r="J195" s="2057">
        <v>661018</v>
      </c>
      <c r="K195" s="2058">
        <v>661</v>
      </c>
      <c r="L195" s="2057" t="s">
        <v>1338</v>
      </c>
      <c r="M195" s="2059" t="s">
        <v>381</v>
      </c>
      <c r="N195" s="2059">
        <v>5</v>
      </c>
    </row>
    <row r="196" spans="10:14">
      <c r="J196" s="2057">
        <v>661020</v>
      </c>
      <c r="K196" s="2058">
        <v>661</v>
      </c>
      <c r="L196" s="2057" t="s">
        <v>1339</v>
      </c>
      <c r="M196" s="2059" t="s">
        <v>381</v>
      </c>
      <c r="N196" s="2059">
        <v>5</v>
      </c>
    </row>
    <row r="197" spans="10:14">
      <c r="J197" s="2057">
        <v>665014</v>
      </c>
      <c r="K197" s="2058">
        <v>665</v>
      </c>
      <c r="L197" s="2057" t="s">
        <v>1340</v>
      </c>
      <c r="M197" s="2059" t="s">
        <v>381</v>
      </c>
      <c r="N197" s="2059">
        <v>5</v>
      </c>
    </row>
    <row r="198" spans="10:14">
      <c r="J198" s="2057">
        <v>665015</v>
      </c>
      <c r="K198" s="2058">
        <v>665</v>
      </c>
      <c r="L198" s="2057" t="s">
        <v>1341</v>
      </c>
      <c r="M198" s="2059" t="s">
        <v>381</v>
      </c>
      <c r="N198" s="2059">
        <v>5</v>
      </c>
    </row>
    <row r="199" spans="10:14">
      <c r="J199" s="2057">
        <v>665016</v>
      </c>
      <c r="K199" s="2058">
        <v>665</v>
      </c>
      <c r="L199" s="2057" t="s">
        <v>1342</v>
      </c>
      <c r="M199" s="2059" t="s">
        <v>381</v>
      </c>
      <c r="N199" s="2059">
        <v>5</v>
      </c>
    </row>
    <row r="200" spans="10:14">
      <c r="J200" s="2057">
        <v>665024</v>
      </c>
      <c r="K200" s="2058">
        <v>665</v>
      </c>
      <c r="L200" s="2057" t="s">
        <v>1343</v>
      </c>
      <c r="M200" s="2059" t="s">
        <v>381</v>
      </c>
      <c r="N200" s="2059">
        <v>5</v>
      </c>
    </row>
    <row r="201" spans="10:14">
      <c r="J201" s="2057">
        <v>667018</v>
      </c>
      <c r="K201" s="2058">
        <v>760</v>
      </c>
      <c r="L201" s="2057" t="s">
        <v>1344</v>
      </c>
      <c r="M201" s="2059">
        <v>2</v>
      </c>
      <c r="N201" s="2059">
        <v>5</v>
      </c>
    </row>
    <row r="202" spans="10:14">
      <c r="J202" s="2057">
        <v>667019</v>
      </c>
      <c r="K202" s="2058">
        <v>760</v>
      </c>
      <c r="L202" s="2057" t="s">
        <v>1345</v>
      </c>
      <c r="M202" s="2059">
        <v>2</v>
      </c>
      <c r="N202" s="2059">
        <v>5</v>
      </c>
    </row>
    <row r="203" spans="10:14">
      <c r="J203" s="2057">
        <v>667021</v>
      </c>
      <c r="K203" s="2058">
        <v>760</v>
      </c>
      <c r="L203" s="2057" t="s">
        <v>1346</v>
      </c>
      <c r="M203" s="2059">
        <v>2</v>
      </c>
      <c r="N203" s="2059">
        <v>5</v>
      </c>
    </row>
    <row r="204" spans="10:14">
      <c r="J204" s="2057">
        <v>671011</v>
      </c>
      <c r="K204" s="2058">
        <v>671</v>
      </c>
      <c r="L204" s="2057" t="s">
        <v>1347</v>
      </c>
      <c r="M204" s="2059" t="s">
        <v>381</v>
      </c>
      <c r="N204" s="2059">
        <v>5</v>
      </c>
    </row>
    <row r="205" spans="10:14">
      <c r="J205" s="2057">
        <v>671013</v>
      </c>
      <c r="K205" s="2058">
        <v>671</v>
      </c>
      <c r="L205" s="2057" t="s">
        <v>1348</v>
      </c>
      <c r="M205" s="2059" t="s">
        <v>381</v>
      </c>
      <c r="N205" s="2059">
        <v>5</v>
      </c>
    </row>
    <row r="206" spans="10:14">
      <c r="J206" s="2057">
        <v>675006</v>
      </c>
      <c r="K206" s="2058">
        <v>671</v>
      </c>
      <c r="L206" s="2057" t="s">
        <v>1349</v>
      </c>
      <c r="M206" s="2059" t="s">
        <v>381</v>
      </c>
      <c r="N206" s="2059">
        <v>5</v>
      </c>
    </row>
    <row r="207" spans="10:14">
      <c r="J207" s="2057">
        <v>679011</v>
      </c>
      <c r="K207" s="2058">
        <v>661</v>
      </c>
      <c r="L207" s="2057" t="s">
        <v>1350</v>
      </c>
      <c r="M207" s="2059" t="s">
        <v>381</v>
      </c>
      <c r="N207" s="2059">
        <v>5</v>
      </c>
    </row>
    <row r="208" spans="10:14">
      <c r="J208" s="2057">
        <v>683009</v>
      </c>
      <c r="K208" s="2058">
        <v>661</v>
      </c>
      <c r="L208" s="2057" t="s">
        <v>1351</v>
      </c>
      <c r="M208" s="2059" t="s">
        <v>381</v>
      </c>
      <c r="N208" s="2059">
        <v>5</v>
      </c>
    </row>
    <row r="209" spans="10:14">
      <c r="J209" s="2057">
        <v>703007</v>
      </c>
      <c r="K209" s="2058">
        <v>746</v>
      </c>
      <c r="L209" s="2057" t="s">
        <v>1352</v>
      </c>
      <c r="M209" s="2059">
        <v>3</v>
      </c>
      <c r="N209" s="2059">
        <v>5</v>
      </c>
    </row>
    <row r="210" spans="10:14">
      <c r="J210" s="2057">
        <v>710003</v>
      </c>
      <c r="K210" s="2058">
        <v>710</v>
      </c>
      <c r="L210" s="2057" t="s">
        <v>1353</v>
      </c>
      <c r="M210" s="2059">
        <v>2</v>
      </c>
      <c r="N210" s="2059">
        <v>5</v>
      </c>
    </row>
    <row r="211" spans="10:14">
      <c r="J211" s="2057">
        <v>711005</v>
      </c>
      <c r="K211" s="2058">
        <v>710</v>
      </c>
      <c r="L211" s="2057" t="s">
        <v>1354</v>
      </c>
      <c r="M211" s="2059">
        <v>2</v>
      </c>
      <c r="N211" s="2059">
        <v>5</v>
      </c>
    </row>
    <row r="212" spans="10:14">
      <c r="J212" s="2057">
        <v>713005</v>
      </c>
      <c r="K212" s="2058">
        <v>710</v>
      </c>
      <c r="L212" s="2057" t="s">
        <v>1355</v>
      </c>
      <c r="M212" s="2059">
        <v>2</v>
      </c>
      <c r="N212" s="2059">
        <v>5</v>
      </c>
    </row>
    <row r="213" spans="10:14">
      <c r="J213" s="2057">
        <v>719004</v>
      </c>
      <c r="K213" s="2058">
        <v>846</v>
      </c>
      <c r="L213" s="2057" t="s">
        <v>1356</v>
      </c>
      <c r="M213" s="2059">
        <v>2</v>
      </c>
      <c r="N213" s="2059">
        <v>6</v>
      </c>
    </row>
    <row r="214" spans="10:14">
      <c r="J214" s="2057">
        <v>723005</v>
      </c>
      <c r="K214" s="2058">
        <v>730</v>
      </c>
      <c r="L214" s="2057" t="s">
        <v>1357</v>
      </c>
      <c r="M214" s="2059">
        <v>2</v>
      </c>
      <c r="N214" s="2059">
        <v>5</v>
      </c>
    </row>
    <row r="215" spans="10:14">
      <c r="J215" s="2057">
        <v>725010</v>
      </c>
      <c r="K215" s="2058">
        <v>707</v>
      </c>
      <c r="L215" s="2057" t="s">
        <v>1358</v>
      </c>
      <c r="M215" s="2059" t="s">
        <v>381</v>
      </c>
      <c r="N215" s="2059">
        <v>5</v>
      </c>
    </row>
    <row r="216" spans="10:14">
      <c r="J216" s="2057">
        <v>727013</v>
      </c>
      <c r="K216" s="2058">
        <v>727</v>
      </c>
      <c r="L216" s="2057" t="s">
        <v>1359</v>
      </c>
      <c r="M216" s="2059" t="s">
        <v>381</v>
      </c>
      <c r="N216" s="2059">
        <v>5</v>
      </c>
    </row>
    <row r="217" spans="10:14">
      <c r="J217" s="2057">
        <v>729006</v>
      </c>
      <c r="K217" s="2058">
        <v>730</v>
      </c>
      <c r="L217" s="2057" t="s">
        <v>1360</v>
      </c>
      <c r="M217" s="2059">
        <v>2</v>
      </c>
      <c r="N217" s="2059">
        <v>5</v>
      </c>
    </row>
    <row r="218" spans="10:14">
      <c r="J218" s="2057">
        <v>741005</v>
      </c>
      <c r="K218" s="2058">
        <v>741</v>
      </c>
      <c r="L218" s="2057" t="s">
        <v>1361</v>
      </c>
      <c r="M218" s="2059" t="s">
        <v>381</v>
      </c>
      <c r="N218" s="2059">
        <v>5</v>
      </c>
    </row>
    <row r="219" spans="10:14">
      <c r="J219" s="2057">
        <v>743026</v>
      </c>
      <c r="K219" s="2058">
        <v>740</v>
      </c>
      <c r="L219" s="2057" t="s">
        <v>1362</v>
      </c>
      <c r="M219" s="2059">
        <v>2</v>
      </c>
      <c r="N219" s="2059">
        <v>5</v>
      </c>
    </row>
    <row r="220" spans="10:14">
      <c r="J220" s="2057">
        <v>743031</v>
      </c>
      <c r="K220" s="2058">
        <v>740</v>
      </c>
      <c r="L220" s="2057" t="s">
        <v>1363</v>
      </c>
      <c r="M220" s="2059">
        <v>2</v>
      </c>
      <c r="N220" s="2059">
        <v>5</v>
      </c>
    </row>
    <row r="221" spans="10:14">
      <c r="J221" s="2057">
        <v>745008</v>
      </c>
      <c r="K221" s="2058">
        <v>746</v>
      </c>
      <c r="L221" s="2057" t="s">
        <v>1364</v>
      </c>
      <c r="M221" s="2059">
        <v>3</v>
      </c>
      <c r="N221" s="2059">
        <v>5</v>
      </c>
    </row>
    <row r="222" spans="10:14">
      <c r="J222" s="2057">
        <v>751062</v>
      </c>
      <c r="K222" s="2058">
        <v>751</v>
      </c>
      <c r="L222" s="2057" t="s">
        <v>1365</v>
      </c>
      <c r="M222" s="2059" t="s">
        <v>383</v>
      </c>
      <c r="N222" s="2059">
        <v>5</v>
      </c>
    </row>
    <row r="223" spans="10:14">
      <c r="J223" s="2057">
        <v>751092</v>
      </c>
      <c r="K223" s="2058">
        <v>751</v>
      </c>
      <c r="L223" s="2057" t="s">
        <v>1366</v>
      </c>
      <c r="M223" s="2059" t="s">
        <v>383</v>
      </c>
      <c r="N223" s="2059">
        <v>5</v>
      </c>
    </row>
    <row r="224" spans="10:14">
      <c r="J224" s="2057">
        <v>751094</v>
      </c>
      <c r="K224" s="2058">
        <v>751</v>
      </c>
      <c r="L224" s="2057" t="s">
        <v>1367</v>
      </c>
      <c r="M224" s="2059" t="s">
        <v>383</v>
      </c>
      <c r="N224" s="2059">
        <v>5</v>
      </c>
    </row>
    <row r="225" spans="10:14">
      <c r="J225" s="2057">
        <v>751098</v>
      </c>
      <c r="K225" s="2058">
        <v>751</v>
      </c>
      <c r="L225" s="2057" t="s">
        <v>1368</v>
      </c>
      <c r="M225" s="2059" t="s">
        <v>383</v>
      </c>
      <c r="N225" s="2059">
        <v>5</v>
      </c>
    </row>
    <row r="226" spans="10:14">
      <c r="J226" s="2057">
        <v>751111</v>
      </c>
      <c r="K226" s="2058">
        <v>751</v>
      </c>
      <c r="L226" s="2057" t="s">
        <v>1369</v>
      </c>
      <c r="M226" s="2059" t="s">
        <v>383</v>
      </c>
      <c r="N226" s="2059">
        <v>5</v>
      </c>
    </row>
    <row r="227" spans="10:14">
      <c r="J227" s="2057">
        <v>760003</v>
      </c>
      <c r="K227" s="2058">
        <v>760</v>
      </c>
      <c r="L227" s="2057" t="s">
        <v>1370</v>
      </c>
      <c r="M227" s="2059">
        <v>2</v>
      </c>
      <c r="N227" s="2059">
        <v>5</v>
      </c>
    </row>
    <row r="228" spans="10:14">
      <c r="J228" s="2057">
        <v>760004</v>
      </c>
      <c r="K228" s="2058">
        <v>760</v>
      </c>
      <c r="L228" s="2057" t="s">
        <v>1371</v>
      </c>
      <c r="M228" s="2059">
        <v>2</v>
      </c>
      <c r="N228" s="2059">
        <v>5</v>
      </c>
    </row>
    <row r="229" spans="10:14">
      <c r="J229" s="2057">
        <v>760005</v>
      </c>
      <c r="K229" s="2058">
        <v>760</v>
      </c>
      <c r="L229" s="2057" t="s">
        <v>1372</v>
      </c>
      <c r="M229" s="2059">
        <v>2</v>
      </c>
      <c r="N229" s="2059">
        <v>5</v>
      </c>
    </row>
    <row r="230" spans="10:14">
      <c r="J230" s="2057">
        <v>761011</v>
      </c>
      <c r="K230" s="2058">
        <v>791</v>
      </c>
      <c r="L230" s="2057" t="s">
        <v>1373</v>
      </c>
      <c r="M230" s="2059" t="s">
        <v>381</v>
      </c>
      <c r="N230" s="2059">
        <v>5</v>
      </c>
    </row>
    <row r="231" spans="10:14">
      <c r="J231" s="2057">
        <v>761015</v>
      </c>
      <c r="K231" s="2058">
        <v>791</v>
      </c>
      <c r="L231" s="2057" t="s">
        <v>1374</v>
      </c>
      <c r="M231" s="2059" t="s">
        <v>381</v>
      </c>
      <c r="N231" s="2059">
        <v>5</v>
      </c>
    </row>
    <row r="232" spans="10:14">
      <c r="J232" s="2057">
        <v>761016</v>
      </c>
      <c r="K232" s="2058">
        <v>791</v>
      </c>
      <c r="L232" s="2057" t="s">
        <v>1375</v>
      </c>
      <c r="M232" s="2059" t="s">
        <v>381</v>
      </c>
      <c r="N232" s="2059">
        <v>5</v>
      </c>
    </row>
    <row r="233" spans="10:14">
      <c r="J233" s="2057">
        <v>765005</v>
      </c>
      <c r="K233" s="2058">
        <v>787</v>
      </c>
      <c r="L233" s="2057" t="s">
        <v>1376</v>
      </c>
      <c r="M233" s="2059" t="s">
        <v>381</v>
      </c>
      <c r="N233" s="2059">
        <v>6</v>
      </c>
    </row>
    <row r="234" spans="10:14">
      <c r="J234" s="2057">
        <v>773021</v>
      </c>
      <c r="K234" s="2058">
        <v>773</v>
      </c>
      <c r="L234" s="2057" t="s">
        <v>1377</v>
      </c>
      <c r="M234" s="2059" t="s">
        <v>381</v>
      </c>
      <c r="N234" s="2059">
        <v>6</v>
      </c>
    </row>
    <row r="235" spans="10:14">
      <c r="J235" s="2057">
        <v>773022</v>
      </c>
      <c r="K235" s="2058">
        <v>773</v>
      </c>
      <c r="L235" s="2057" t="s">
        <v>1378</v>
      </c>
      <c r="M235" s="2059" t="s">
        <v>381</v>
      </c>
      <c r="N235" s="2059">
        <v>6</v>
      </c>
    </row>
    <row r="236" spans="10:14">
      <c r="J236" s="2057">
        <v>773023</v>
      </c>
      <c r="K236" s="2058">
        <v>773</v>
      </c>
      <c r="L236" s="2057" t="s">
        <v>1379</v>
      </c>
      <c r="M236" s="2059" t="s">
        <v>381</v>
      </c>
      <c r="N236" s="2059">
        <v>6</v>
      </c>
    </row>
    <row r="237" spans="10:14">
      <c r="J237" s="2057">
        <v>773028</v>
      </c>
      <c r="K237" s="2058">
        <v>773</v>
      </c>
      <c r="L237" s="2057" t="s">
        <v>1380</v>
      </c>
      <c r="M237" s="2059" t="s">
        <v>381</v>
      </c>
      <c r="N237" s="2059">
        <v>6</v>
      </c>
    </row>
    <row r="238" spans="10:14">
      <c r="J238" s="2057">
        <v>773029</v>
      </c>
      <c r="K238" s="2058">
        <v>773</v>
      </c>
      <c r="L238" s="2057" t="s">
        <v>1381</v>
      </c>
      <c r="M238" s="2059" t="s">
        <v>381</v>
      </c>
      <c r="N238" s="2059">
        <v>6</v>
      </c>
    </row>
    <row r="239" spans="10:14">
      <c r="J239" s="2057">
        <v>773031</v>
      </c>
      <c r="K239" s="2058">
        <v>773</v>
      </c>
      <c r="L239" s="2057" t="s">
        <v>1382</v>
      </c>
      <c r="M239" s="2059" t="s">
        <v>381</v>
      </c>
      <c r="N239" s="2059">
        <v>6</v>
      </c>
    </row>
    <row r="240" spans="10:14">
      <c r="J240" s="2057">
        <v>773032</v>
      </c>
      <c r="K240" s="2058">
        <v>773</v>
      </c>
      <c r="L240" s="2057" t="s">
        <v>1383</v>
      </c>
      <c r="M240" s="2059" t="s">
        <v>381</v>
      </c>
      <c r="N240" s="2059">
        <v>6</v>
      </c>
    </row>
    <row r="241" spans="10:14">
      <c r="J241" s="2057">
        <v>779015</v>
      </c>
      <c r="K241" s="2058">
        <v>779</v>
      </c>
      <c r="L241" s="2057" t="s">
        <v>1384</v>
      </c>
      <c r="M241" s="2059" t="s">
        <v>381</v>
      </c>
      <c r="N241" s="2059">
        <v>5</v>
      </c>
    </row>
    <row r="242" spans="10:14">
      <c r="J242" s="2057">
        <v>781008</v>
      </c>
      <c r="K242" s="2058">
        <v>779</v>
      </c>
      <c r="L242" s="2057" t="s">
        <v>1385</v>
      </c>
      <c r="M242" s="2059" t="s">
        <v>381</v>
      </c>
      <c r="N242" s="2059">
        <v>5</v>
      </c>
    </row>
    <row r="243" spans="10:14">
      <c r="J243" s="2057">
        <v>783005</v>
      </c>
      <c r="K243" s="2058">
        <v>779</v>
      </c>
      <c r="L243" s="2057" t="s">
        <v>1386</v>
      </c>
      <c r="M243" s="2059" t="s">
        <v>381</v>
      </c>
      <c r="N243" s="2059">
        <v>5</v>
      </c>
    </row>
    <row r="244" spans="10:14">
      <c r="J244" s="2057">
        <v>785013</v>
      </c>
      <c r="K244" s="2058">
        <v>787</v>
      </c>
      <c r="L244" s="2057" t="s">
        <v>1387</v>
      </c>
      <c r="M244" s="2059" t="s">
        <v>381</v>
      </c>
      <c r="N244" s="2059">
        <v>6</v>
      </c>
    </row>
    <row r="245" spans="10:14">
      <c r="J245" s="2057">
        <v>785016</v>
      </c>
      <c r="K245" s="2058">
        <v>787</v>
      </c>
      <c r="L245" s="2057" t="s">
        <v>1388</v>
      </c>
      <c r="M245" s="2059" t="s">
        <v>381</v>
      </c>
      <c r="N245" s="2059">
        <v>6</v>
      </c>
    </row>
    <row r="246" spans="10:14">
      <c r="J246" s="2057">
        <v>787021</v>
      </c>
      <c r="K246" s="2058">
        <v>787</v>
      </c>
      <c r="L246" s="2057" t="s">
        <v>1389</v>
      </c>
      <c r="M246" s="2059" t="s">
        <v>381</v>
      </c>
      <c r="N246" s="2059">
        <v>6</v>
      </c>
    </row>
    <row r="247" spans="10:14">
      <c r="J247" s="2057">
        <v>787022</v>
      </c>
      <c r="K247" s="2058">
        <v>787</v>
      </c>
      <c r="L247" s="2057" t="s">
        <v>1390</v>
      </c>
      <c r="M247" s="2059" t="s">
        <v>381</v>
      </c>
      <c r="N247" s="2059">
        <v>6</v>
      </c>
    </row>
    <row r="248" spans="10:14">
      <c r="J248" s="2057">
        <v>787030</v>
      </c>
      <c r="K248" s="2058">
        <v>787</v>
      </c>
      <c r="L248" s="2057" t="s">
        <v>1391</v>
      </c>
      <c r="M248" s="2059" t="s">
        <v>381</v>
      </c>
      <c r="N248" s="2059">
        <v>6</v>
      </c>
    </row>
    <row r="249" spans="10:14">
      <c r="J249" s="2057">
        <v>787033</v>
      </c>
      <c r="K249" s="2058">
        <v>787</v>
      </c>
      <c r="L249" s="2057" t="s">
        <v>1392</v>
      </c>
      <c r="M249" s="2059" t="s">
        <v>381</v>
      </c>
      <c r="N249" s="2059">
        <v>6</v>
      </c>
    </row>
    <row r="250" spans="10:14">
      <c r="J250" s="2057">
        <v>789009</v>
      </c>
      <c r="K250" s="2058">
        <v>791</v>
      </c>
      <c r="L250" s="2057" t="s">
        <v>1393</v>
      </c>
      <c r="M250" s="2059" t="s">
        <v>381</v>
      </c>
      <c r="N250" s="2059">
        <v>5</v>
      </c>
    </row>
    <row r="251" spans="10:14">
      <c r="J251" s="2057">
        <v>791027</v>
      </c>
      <c r="K251" s="2058">
        <v>791</v>
      </c>
      <c r="L251" s="2057" t="s">
        <v>1394</v>
      </c>
      <c r="M251" s="2059" t="s">
        <v>381</v>
      </c>
      <c r="N251" s="2059">
        <v>5</v>
      </c>
    </row>
    <row r="252" spans="10:14">
      <c r="J252" s="2057">
        <v>791028</v>
      </c>
      <c r="K252" s="2058">
        <v>791</v>
      </c>
      <c r="L252" s="2057" t="s">
        <v>1395</v>
      </c>
      <c r="M252" s="2059" t="s">
        <v>381</v>
      </c>
      <c r="N252" s="2059">
        <v>5</v>
      </c>
    </row>
    <row r="253" spans="10:14">
      <c r="J253" s="2057">
        <v>793009</v>
      </c>
      <c r="K253" s="2058">
        <v>820</v>
      </c>
      <c r="L253" s="2057" t="s">
        <v>1396</v>
      </c>
      <c r="M253" s="2059">
        <v>2</v>
      </c>
      <c r="N253" s="2059">
        <v>6</v>
      </c>
    </row>
    <row r="254" spans="10:14">
      <c r="J254" s="2057">
        <v>811007</v>
      </c>
      <c r="K254" s="2058">
        <v>849</v>
      </c>
      <c r="L254" s="2057" t="s">
        <v>1397</v>
      </c>
      <c r="M254" s="2059" t="s">
        <v>381</v>
      </c>
      <c r="N254" s="2059">
        <v>6</v>
      </c>
    </row>
    <row r="255" spans="10:14">
      <c r="J255" s="2057">
        <v>821016</v>
      </c>
      <c r="K255" s="2058">
        <v>860</v>
      </c>
      <c r="L255" s="2057" t="s">
        <v>1398</v>
      </c>
      <c r="M255" s="2059">
        <v>2</v>
      </c>
      <c r="N255" s="2059">
        <v>6</v>
      </c>
    </row>
    <row r="256" spans="10:14">
      <c r="J256" s="2057">
        <v>823009</v>
      </c>
      <c r="K256" s="2058">
        <v>846</v>
      </c>
      <c r="L256" s="2057" t="s">
        <v>1399</v>
      </c>
      <c r="M256" s="2059">
        <v>2</v>
      </c>
      <c r="N256" s="2059">
        <v>6</v>
      </c>
    </row>
    <row r="257" spans="10:14">
      <c r="J257" s="2057">
        <v>827006</v>
      </c>
      <c r="K257" s="2058">
        <v>820</v>
      </c>
      <c r="L257" s="2057" t="s">
        <v>1400</v>
      </c>
      <c r="M257" s="2059">
        <v>2</v>
      </c>
      <c r="N257" s="2059">
        <v>6</v>
      </c>
    </row>
    <row r="258" spans="10:14">
      <c r="J258" s="2057">
        <v>831006</v>
      </c>
      <c r="K258" s="2058">
        <v>851</v>
      </c>
      <c r="L258" s="2057" t="s">
        <v>1401</v>
      </c>
      <c r="M258" s="2059" t="s">
        <v>382</v>
      </c>
      <c r="N258" s="2059">
        <v>6</v>
      </c>
    </row>
    <row r="259" spans="10:14">
      <c r="J259" s="2057">
        <v>831007</v>
      </c>
      <c r="K259" s="2058">
        <v>851</v>
      </c>
      <c r="L259" s="2057" t="s">
        <v>1402</v>
      </c>
      <c r="M259" s="2059" t="s">
        <v>382</v>
      </c>
      <c r="N259" s="2059">
        <v>6</v>
      </c>
    </row>
    <row r="260" spans="10:14">
      <c r="J260" s="2057">
        <v>837007</v>
      </c>
      <c r="K260" s="2058">
        <v>851</v>
      </c>
      <c r="L260" s="2057" t="s">
        <v>1403</v>
      </c>
      <c r="M260" s="2059" t="s">
        <v>382</v>
      </c>
      <c r="N260" s="2059">
        <v>6</v>
      </c>
    </row>
    <row r="261" spans="10:14">
      <c r="J261" s="2057">
        <v>837009</v>
      </c>
      <c r="K261" s="2058">
        <v>851</v>
      </c>
      <c r="L261" s="2057" t="s">
        <v>1404</v>
      </c>
      <c r="M261" s="2059" t="s">
        <v>382</v>
      </c>
      <c r="N261" s="2059">
        <v>6</v>
      </c>
    </row>
    <row r="262" spans="10:14">
      <c r="J262" s="2057">
        <v>845008</v>
      </c>
      <c r="K262" s="2058">
        <v>840</v>
      </c>
      <c r="L262" s="2057" t="s">
        <v>1405</v>
      </c>
      <c r="M262" s="2059">
        <v>2</v>
      </c>
      <c r="N262" s="2059">
        <v>6</v>
      </c>
    </row>
    <row r="263" spans="10:14">
      <c r="J263" s="2057">
        <v>845013</v>
      </c>
      <c r="K263" s="2058">
        <v>840</v>
      </c>
      <c r="L263" s="2057" t="s">
        <v>1406</v>
      </c>
      <c r="M263" s="2059">
        <v>2</v>
      </c>
      <c r="N263" s="2059">
        <v>6</v>
      </c>
    </row>
    <row r="264" spans="10:14">
      <c r="J264" s="2057">
        <v>846002</v>
      </c>
      <c r="K264" s="2058">
        <v>846</v>
      </c>
      <c r="L264" s="2057" t="s">
        <v>1407</v>
      </c>
      <c r="M264" s="2059">
        <v>2</v>
      </c>
      <c r="N264" s="2059">
        <v>6</v>
      </c>
    </row>
    <row r="265" spans="10:14">
      <c r="J265" s="2057">
        <v>847011</v>
      </c>
      <c r="K265" s="2058">
        <v>813</v>
      </c>
      <c r="L265" s="2057" t="s">
        <v>1408</v>
      </c>
      <c r="M265" s="2059" t="s">
        <v>382</v>
      </c>
      <c r="N265" s="2059">
        <v>6</v>
      </c>
    </row>
    <row r="266" spans="10:14">
      <c r="J266" s="2057">
        <v>847012</v>
      </c>
      <c r="K266" s="2058">
        <v>813</v>
      </c>
      <c r="L266" s="2057" t="s">
        <v>1409</v>
      </c>
      <c r="M266" s="2059" t="s">
        <v>382</v>
      </c>
      <c r="N266" s="2059">
        <v>6</v>
      </c>
    </row>
    <row r="267" spans="10:14">
      <c r="J267" s="2057">
        <v>849006</v>
      </c>
      <c r="K267" s="2058">
        <v>849</v>
      </c>
      <c r="L267" s="2057" t="s">
        <v>1410</v>
      </c>
      <c r="M267" s="2059" t="s">
        <v>381</v>
      </c>
      <c r="N267" s="2059">
        <v>6</v>
      </c>
    </row>
    <row r="268" spans="10:14">
      <c r="J268" s="2057">
        <v>849008</v>
      </c>
      <c r="K268" s="2058">
        <v>849</v>
      </c>
      <c r="L268" s="2057" t="s">
        <v>1411</v>
      </c>
      <c r="M268" s="2059" t="s">
        <v>381</v>
      </c>
      <c r="N268" s="2059">
        <v>6</v>
      </c>
    </row>
    <row r="269" spans="10:14">
      <c r="J269" s="2057">
        <v>851071</v>
      </c>
      <c r="K269" s="2058">
        <v>851</v>
      </c>
      <c r="L269" s="2057" t="s">
        <v>1412</v>
      </c>
      <c r="M269" s="2059" t="s">
        <v>382</v>
      </c>
      <c r="N269" s="2059">
        <v>6</v>
      </c>
    </row>
    <row r="270" spans="10:14">
      <c r="J270" s="2057">
        <v>851075</v>
      </c>
      <c r="K270" s="2058">
        <v>851</v>
      </c>
      <c r="L270" s="2057" t="s">
        <v>1413</v>
      </c>
      <c r="M270" s="2059" t="s">
        <v>382</v>
      </c>
      <c r="N270" s="2059">
        <v>6</v>
      </c>
    </row>
    <row r="271" spans="10:14">
      <c r="J271" s="2057">
        <v>851076</v>
      </c>
      <c r="K271" s="2058">
        <v>851</v>
      </c>
      <c r="L271" s="2057" t="s">
        <v>1414</v>
      </c>
      <c r="M271" s="2059" t="s">
        <v>382</v>
      </c>
      <c r="N271" s="2059">
        <v>6</v>
      </c>
    </row>
    <row r="272" spans="10:14">
      <c r="J272" s="2057">
        <v>851087</v>
      </c>
      <c r="K272" s="2058">
        <v>851</v>
      </c>
      <c r="L272" s="2057" t="s">
        <v>1415</v>
      </c>
      <c r="M272" s="2059" t="s">
        <v>382</v>
      </c>
      <c r="N272" s="2059">
        <v>6</v>
      </c>
    </row>
    <row r="273" spans="10:14">
      <c r="J273" s="2057">
        <v>861012</v>
      </c>
      <c r="K273" s="2058">
        <v>820</v>
      </c>
      <c r="L273" s="2057" t="s">
        <v>1416</v>
      </c>
      <c r="M273" s="2059">
        <v>2</v>
      </c>
      <c r="N273" s="2059">
        <v>6</v>
      </c>
    </row>
  </sheetData>
  <phoneticPr fontId="55" type="noConversion"/>
  <printOptions horizontalCentered="1" verticalCentered="1" gridLinesSet="0"/>
  <pageMargins left="0.39370078740157483" right="0.39370078740157483" top="0.98425196850393704" bottom="0.98425196850393704" header="0.51181102362204722" footer="0.51181102362204722"/>
  <pageSetup paperSize="9" scale="16" orientation="portrait" horizontalDpi="4294967292" verticalDpi="4294967292"/>
  <headerFooter alignWithMargins="0">
    <oddHeader>&amp;L&amp;"Geneva,Fed"&amp;24LØNTABEL</oddHeader>
    <oddFooter>&amp;L&amp;"Geneva,Normal"FRISKOLERNES KONTOR, Prices Havevej 11, 5600 Fåborg&amp;R&amp;"Geneva,Normal"Ole Mikkelsen, friskolekonsulent</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Ark15">
    <pageSetUpPr fitToPage="1"/>
  </sheetPr>
  <dimension ref="A1:I79"/>
  <sheetViews>
    <sheetView topLeftCell="A19" workbookViewId="0">
      <selection activeCell="G36" sqref="G36"/>
    </sheetView>
  </sheetViews>
  <sheetFormatPr baseColWidth="10" defaultColWidth="11.5" defaultRowHeight="13"/>
  <cols>
    <col min="1" max="1" width="23" customWidth="1"/>
    <col min="6" max="6" width="16.5" customWidth="1"/>
  </cols>
  <sheetData>
    <row r="1" spans="1:5" s="98" customFormat="1" ht="27" customHeight="1" thickBot="1">
      <c r="A1" s="2844"/>
      <c r="B1" s="2844"/>
      <c r="C1" s="2844"/>
      <c r="D1" s="2844"/>
      <c r="E1" s="2844"/>
    </row>
    <row r="4" spans="1:5">
      <c r="A4" s="2063"/>
      <c r="B4" s="2064">
        <f>budgetår-2</f>
        <v>2024</v>
      </c>
      <c r="C4" s="2064">
        <f>budgetår-1</f>
        <v>2025</v>
      </c>
      <c r="D4" s="2064">
        <f>budgetår</f>
        <v>2026</v>
      </c>
      <c r="E4" s="2064">
        <f>budgetår+1</f>
        <v>2027</v>
      </c>
    </row>
    <row r="5" spans="1:5">
      <c r="A5" s="2065" t="s">
        <v>1417</v>
      </c>
      <c r="B5" s="2066" t="str">
        <f>IF(Hovedskema!D29=0,"",Hovedskema!D29)</f>
        <v/>
      </c>
      <c r="C5" s="2066" t="str">
        <f>IF(Hovedskema!E29=0,"",Hovedskema!E29)</f>
        <v/>
      </c>
      <c r="D5" s="2066">
        <f>IF(Hovedskema!F29=0,"",Hovedskema!F29)</f>
        <v>135843</v>
      </c>
      <c r="E5" s="2066">
        <f>IF(Hovedskema!G29=0,"",Hovedskema!G29)</f>
        <v>135843</v>
      </c>
    </row>
    <row r="6" spans="1:5">
      <c r="A6" s="2065" t="s">
        <v>1418</v>
      </c>
      <c r="B6" s="2066" t="str">
        <f>IF(Hovedskema!D66=0,"",Hovedskema!D66)</f>
        <v/>
      </c>
      <c r="C6" s="2066" t="str">
        <f>IF(Hovedskema!E66=0,"",Hovedskema!E66)</f>
        <v/>
      </c>
      <c r="D6" s="2066">
        <f>IF(Hovedskema!F66=0,"",Hovedskema!F66)</f>
        <v>9167</v>
      </c>
      <c r="E6" s="2066">
        <f>IF(Hovedskema!G66=0,"",Hovedskema!G66)</f>
        <v>9304.5049999999992</v>
      </c>
    </row>
    <row r="7" spans="1:5">
      <c r="A7" s="2065" t="s">
        <v>1419</v>
      </c>
      <c r="B7" s="2066" t="str">
        <f>IF(Hovedskema!D67=0,"",Hovedskema!D67)</f>
        <v/>
      </c>
      <c r="C7" s="2066" t="str">
        <f>IF(Hovedskema!E67=0,"",Hovedskema!E67)</f>
        <v/>
      </c>
      <c r="D7" s="2066">
        <f>IF(Hovedskema!F67=0,"",Hovedskema!F67)</f>
        <v>126676</v>
      </c>
      <c r="E7" s="2066">
        <f>IF(Hovedskema!G67=0,"",Hovedskema!G67)</f>
        <v>126538.495</v>
      </c>
    </row>
    <row r="8" spans="1:5" ht="14" thickBot="1">
      <c r="A8" s="2067" t="s">
        <v>1420</v>
      </c>
      <c r="B8" s="2068">
        <f>Hovedskema!D96-Hovedskema!D102</f>
        <v>0</v>
      </c>
      <c r="C8" s="2068">
        <f>Hovedskema!E96-Hovedskema!E102</f>
        <v>0</v>
      </c>
      <c r="D8" s="2068">
        <f>Hovedskema!F96-Hovedskema!F102</f>
        <v>126676</v>
      </c>
      <c r="E8" s="2068">
        <f>Hovedskema!G96-Hovedskema!G102</f>
        <v>253214.495</v>
      </c>
    </row>
    <row r="9" spans="1:5">
      <c r="A9" s="2065" t="s">
        <v>1421</v>
      </c>
      <c r="B9" s="2066">
        <f>Hovedskema!D4</f>
        <v>0</v>
      </c>
      <c r="C9" s="2066">
        <f>Hovedskema!E4</f>
        <v>0</v>
      </c>
      <c r="D9" s="2066">
        <f>Hovedskema!F4</f>
        <v>0</v>
      </c>
      <c r="E9" s="2066">
        <f>Hovedskema!G4</f>
        <v>0</v>
      </c>
    </row>
    <row r="10" spans="1:5" ht="14" thickBot="1">
      <c r="A10" s="2069" t="s">
        <v>974</v>
      </c>
      <c r="B10" s="2068">
        <f>Hovedskema!D6</f>
        <v>0</v>
      </c>
      <c r="C10" s="2068">
        <f>Hovedskema!E6</f>
        <v>0</v>
      </c>
      <c r="D10" s="2068">
        <f>Hovedskema!F6</f>
        <v>0</v>
      </c>
      <c r="E10" s="2068">
        <f>Hovedskema!G6</f>
        <v>0</v>
      </c>
    </row>
    <row r="54" spans="1:3">
      <c r="A54" s="6"/>
      <c r="B54" s="6"/>
    </row>
    <row r="55" spans="1:3">
      <c r="A55" t="s">
        <v>1422</v>
      </c>
      <c r="B55" s="8"/>
      <c r="C55" s="185"/>
    </row>
    <row r="56" spans="1:3">
      <c r="A56" s="7"/>
    </row>
    <row r="78" spans="9:9">
      <c r="I78" s="1"/>
    </row>
    <row r="79" spans="9:9">
      <c r="I79" s="1"/>
    </row>
  </sheetData>
  <sheetProtection sheet="1" objects="1" scenarios="1"/>
  <mergeCells count="1">
    <mergeCell ref="A1:E1"/>
  </mergeCells>
  <phoneticPr fontId="55" type="noConversion"/>
  <hyperlinks>
    <hyperlink ref="A55" location="4Hovedskema!Print_Area" display="Gå til Hovedskemaet" xr:uid="{00000000-0004-0000-1200-000000000000}"/>
  </hyperlinks>
  <printOptions horizontalCentered="1" verticalCentered="1"/>
  <pageMargins left="0.79027777777777775" right="0.67013888888888884" top="0.97986111111111107" bottom="0.83958333333333335" header="0.51180555555555551" footer="0.50972222222222219"/>
  <pageSetup paperSize="9" scale="95" orientation="portrait"/>
  <headerFooter alignWithMargins="0">
    <oddFooter>&amp;LFriskolernes Kontor&amp;CKursusmateriale 2010&amp;R&amp;A</oddFooter>
  </headerFooter>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baseColWidth="10" defaultColWidth="11.5" defaultRowHeight="13"/>
  <sheetData/>
  <phoneticPr fontId="55" type="noConversion"/>
  <pageMargins left="0.7" right="0.7" top="0.75" bottom="0.75" header="0.3" footer="0.3"/>
  <pageSetup paperSize="9" orientation="portrait" horizontalDpi="0" verticalDpi="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Ark17">
    <pageSetUpPr fitToPage="1"/>
  </sheetPr>
  <dimension ref="A1:K63"/>
  <sheetViews>
    <sheetView topLeftCell="B1" workbookViewId="0">
      <selection activeCell="B5" sqref="B5:G59"/>
    </sheetView>
  </sheetViews>
  <sheetFormatPr baseColWidth="10" defaultColWidth="11.5" defaultRowHeight="13"/>
  <sheetData>
    <row r="1" spans="1:9">
      <c r="H1" t="s">
        <v>1423</v>
      </c>
      <c r="I1" t="s">
        <v>1424</v>
      </c>
    </row>
    <row r="2" spans="1:9">
      <c r="A2" t="s">
        <v>1425</v>
      </c>
      <c r="B2" s="2845" t="str">
        <f>"Årslønninger pr. "&amp;A2&amp;", statens takster.   Procentregulering: "&amp;A3</f>
        <v>Årslønninger pr.  , statens takster.   Procentregulering: -0,98696</v>
      </c>
      <c r="C2" s="2845"/>
      <c r="D2" s="2845"/>
      <c r="E2" s="2845"/>
      <c r="F2" s="2845"/>
      <c r="G2" s="2845"/>
      <c r="H2">
        <f>0.17/3</f>
        <v>5.6666666666666671E-2</v>
      </c>
      <c r="I2">
        <f>H2*2</f>
        <v>0.11333333333333334</v>
      </c>
    </row>
    <row r="3" spans="1:9">
      <c r="A3">
        <v>-0.98695999999999995</v>
      </c>
      <c r="B3">
        <f>A3+1</f>
        <v>1.3040000000000052E-2</v>
      </c>
      <c r="D3" t="s">
        <v>463</v>
      </c>
      <c r="G3" t="s">
        <v>1426</v>
      </c>
    </row>
    <row r="4" spans="1:9">
      <c r="A4" t="s">
        <v>1090</v>
      </c>
      <c r="B4" s="838" t="s">
        <v>1091</v>
      </c>
      <c r="C4" s="838" t="s">
        <v>1092</v>
      </c>
      <c r="D4" s="838" t="s">
        <v>1093</v>
      </c>
      <c r="E4" s="838" t="s">
        <v>1094</v>
      </c>
      <c r="F4" s="838" t="s">
        <v>1095</v>
      </c>
      <c r="G4" t="s">
        <v>1427</v>
      </c>
      <c r="H4" t="s">
        <v>1428</v>
      </c>
      <c r="I4" t="s">
        <v>1429</v>
      </c>
    </row>
    <row r="5" spans="1:9">
      <c r="A5">
        <v>1</v>
      </c>
      <c r="B5" s="38">
        <f>Grundlon!B4*'H2.Aktuel år'!$B$3</f>
        <v>2410.0136800000096</v>
      </c>
      <c r="C5" s="38">
        <f>Grundlon!C4*'H2.Aktuel år'!$B$3</f>
        <v>2454.9756000000098</v>
      </c>
      <c r="D5" s="38">
        <f>Grundlon!D4*'H2.Aktuel år'!$B$3</f>
        <v>2486.07600000001</v>
      </c>
      <c r="E5" s="38">
        <f>Grundlon!E4*'H2.Aktuel år'!$B$3</f>
        <v>2531.0379200000102</v>
      </c>
      <c r="F5" s="38">
        <f>Grundlon!F4*'H2.Aktuel år'!$B$3</f>
        <v>2562.1513600000103</v>
      </c>
      <c r="G5" s="38">
        <f>Grundlon!G4*'H2.Aktuel år'!$B$3</f>
        <v>2241.8026352000088</v>
      </c>
      <c r="H5" s="2070">
        <f t="shared" ref="H5:H59" si="0">ROUND($G5*100/(100-100*$H$2)*$H$2,0)</f>
        <v>135</v>
      </c>
      <c r="I5">
        <f t="shared" ref="I5:I59" si="1">2*H5</f>
        <v>270</v>
      </c>
    </row>
    <row r="6" spans="1:9">
      <c r="A6">
        <v>2</v>
      </c>
      <c r="B6" s="38">
        <f>Grundlon!B5*'H2.Aktuel år'!$B$3</f>
        <v>2447.0212000000097</v>
      </c>
      <c r="C6" s="38">
        <f>Grundlon!C5*'H2.Aktuel år'!$B$3</f>
        <v>2493.0784800000097</v>
      </c>
      <c r="D6" s="38">
        <f>Grundlon!D5*'H2.Aktuel år'!$B$3</f>
        <v>2524.96128000001</v>
      </c>
      <c r="E6" s="38">
        <f>Grundlon!E5*'H2.Aktuel år'!$B$3</f>
        <v>2570.9794400000101</v>
      </c>
      <c r="F6" s="38">
        <f>Grundlon!F5*'H2.Aktuel år'!$B$3</f>
        <v>2602.8752800000102</v>
      </c>
      <c r="G6" s="38">
        <f>Grundlon!G5*'H2.Aktuel år'!$B$3</f>
        <v>2276.4885136000089</v>
      </c>
      <c r="H6" s="36">
        <f t="shared" si="0"/>
        <v>137</v>
      </c>
      <c r="I6">
        <f t="shared" si="1"/>
        <v>274</v>
      </c>
    </row>
    <row r="7" spans="1:9">
      <c r="A7">
        <v>3</v>
      </c>
      <c r="B7" s="38">
        <f>Grundlon!B6*'H2.Aktuel år'!$B$3</f>
        <v>2485.0458400000098</v>
      </c>
      <c r="C7" s="38">
        <f>Grundlon!C6*'H2.Aktuel år'!$B$3</f>
        <v>2532.19848000001</v>
      </c>
      <c r="D7" s="38">
        <f>Grundlon!D6*'H2.Aktuel år'!$B$3</f>
        <v>2564.8636800000099</v>
      </c>
      <c r="E7" s="38">
        <f>Grundlon!E6*'H2.Aktuel år'!$B$3</f>
        <v>2612.0163200000102</v>
      </c>
      <c r="F7" s="38">
        <f>Grundlon!F6*'H2.Aktuel år'!$B$3</f>
        <v>2644.6945600000104</v>
      </c>
      <c r="G7" s="38">
        <f>Grundlon!G6*'H2.Aktuel år'!$B$3</f>
        <v>2312.1156192000094</v>
      </c>
      <c r="H7" s="36">
        <f t="shared" si="0"/>
        <v>139</v>
      </c>
      <c r="I7">
        <f t="shared" si="1"/>
        <v>278</v>
      </c>
    </row>
    <row r="8" spans="1:9">
      <c r="A8">
        <v>4</v>
      </c>
      <c r="B8" s="38">
        <f>Grundlon!B7*'H2.Aktuel år'!$B$3</f>
        <v>2524.1136800000099</v>
      </c>
      <c r="C8" s="38">
        <f>Grundlon!C7*'H2.Aktuel år'!$B$3</f>
        <v>2572.4529600000101</v>
      </c>
      <c r="D8" s="38">
        <f>Grundlon!D7*'H2.Aktuel år'!$B$3</f>
        <v>2605.9136000000103</v>
      </c>
      <c r="E8" s="38">
        <f>Grundlon!E7*'H2.Aktuel år'!$B$3</f>
        <v>2654.2268000000104</v>
      </c>
      <c r="F8" s="38">
        <f>Grundlon!F7*'H2.Aktuel år'!$B$3</f>
        <v>2687.6744000000108</v>
      </c>
      <c r="G8" s="38">
        <f>Grundlon!G7*'H2.Aktuel år'!$B$3</f>
        <v>2348.7310264000093</v>
      </c>
      <c r="H8" s="36">
        <f t="shared" si="0"/>
        <v>141</v>
      </c>
      <c r="I8">
        <f t="shared" si="1"/>
        <v>282</v>
      </c>
    </row>
    <row r="9" spans="1:9">
      <c r="A9">
        <v>5</v>
      </c>
      <c r="B9" s="38">
        <f>Grundlon!B8*'H2.Aktuel år'!$B$3</f>
        <v>2564.2508000000103</v>
      </c>
      <c r="C9" s="38">
        <f>Grundlon!C8*'H2.Aktuel år'!$B$3</f>
        <v>2613.7636800000105</v>
      </c>
      <c r="D9" s="38">
        <f>Grundlon!D8*'H2.Aktuel år'!$B$3</f>
        <v>2648.0588800000105</v>
      </c>
      <c r="E9" s="38">
        <f>Grundlon!E8*'H2.Aktuel år'!$B$3</f>
        <v>2697.5717600000107</v>
      </c>
      <c r="F9" s="38">
        <f>Grundlon!F8*'H2.Aktuel år'!$B$3</f>
        <v>2731.8408800000107</v>
      </c>
      <c r="G9" s="38">
        <f>Grundlon!G8*'H2.Aktuel år'!$B$3</f>
        <v>2386.3348656000098</v>
      </c>
      <c r="H9" s="36">
        <f t="shared" si="0"/>
        <v>143</v>
      </c>
      <c r="I9">
        <f t="shared" si="1"/>
        <v>286</v>
      </c>
    </row>
    <row r="10" spans="1:9">
      <c r="A10">
        <v>6</v>
      </c>
      <c r="B10" s="38">
        <f>Grundlon!B9*'H2.Aktuel år'!$B$3</f>
        <v>2605.5224000000103</v>
      </c>
      <c r="C10" s="38">
        <f>Grundlon!C9*'H2.Aktuel år'!$B$3</f>
        <v>2656.2480000000105</v>
      </c>
      <c r="D10" s="38">
        <f>Grundlon!D9*'H2.Aktuel år'!$B$3</f>
        <v>2691.3908000000106</v>
      </c>
      <c r="E10" s="38">
        <f>Grundlon!E9*'H2.Aktuel år'!$B$3</f>
        <v>2742.1164000000108</v>
      </c>
      <c r="F10" s="38">
        <f>Grundlon!F9*'H2.Aktuel år'!$B$3</f>
        <v>2777.2331200000108</v>
      </c>
      <c r="G10" s="38">
        <f>Grundlon!G9*'H2.Aktuel år'!$B$3</f>
        <v>2424.9974224000098</v>
      </c>
      <c r="H10" s="36">
        <f t="shared" si="0"/>
        <v>146</v>
      </c>
      <c r="I10">
        <f t="shared" si="1"/>
        <v>292</v>
      </c>
    </row>
    <row r="11" spans="1:9">
      <c r="A11">
        <v>7</v>
      </c>
      <c r="B11" s="38">
        <f>Grundlon!B10*'H2.Aktuel år'!$B$3</f>
        <v>2647.8763200000103</v>
      </c>
      <c r="C11" s="38">
        <f>Grundlon!C10*'H2.Aktuel år'!$B$3</f>
        <v>2699.8668000000107</v>
      </c>
      <c r="D11" s="38">
        <f>Grundlon!D10*'H2.Aktuel år'!$B$3</f>
        <v>2735.8572000000108</v>
      </c>
      <c r="E11" s="38">
        <f>Grundlon!E10*'H2.Aktuel år'!$B$3</f>
        <v>2787.8476800000112</v>
      </c>
      <c r="F11" s="38">
        <f>Grundlon!F10*'H2.Aktuel år'!$B$3</f>
        <v>2823.8250400000111</v>
      </c>
      <c r="G11" s="38">
        <f>Grundlon!G10*'H2.Aktuel år'!$B$3</f>
        <v>2464.6956160000095</v>
      </c>
      <c r="H11" s="36">
        <f t="shared" si="0"/>
        <v>148</v>
      </c>
      <c r="I11">
        <f t="shared" si="1"/>
        <v>296</v>
      </c>
    </row>
    <row r="12" spans="1:9">
      <c r="A12">
        <v>8</v>
      </c>
      <c r="B12" s="38">
        <f>Grundlon!B11*'H2.Aktuel år'!$B$3</f>
        <v>2691.4038400000109</v>
      </c>
      <c r="C12" s="38">
        <f>Grundlon!C11*'H2.Aktuel år'!$B$3</f>
        <v>2744.6852800000111</v>
      </c>
      <c r="D12" s="38">
        <f>Grundlon!D11*'H2.Aktuel år'!$B$3</f>
        <v>2781.575440000011</v>
      </c>
      <c r="E12" s="38">
        <f>Grundlon!E11*'H2.Aktuel år'!$B$3</f>
        <v>2834.8568800000112</v>
      </c>
      <c r="F12" s="38">
        <f>Grundlon!F11*'H2.Aktuel år'!$B$3</f>
        <v>2871.7470400000116</v>
      </c>
      <c r="G12" s="38">
        <f>Grundlon!G11*'H2.Aktuel år'!$B$3</f>
        <v>2505.49960160001</v>
      </c>
      <c r="H12" s="36">
        <f t="shared" si="0"/>
        <v>151</v>
      </c>
      <c r="I12">
        <f t="shared" si="1"/>
        <v>302</v>
      </c>
    </row>
    <row r="13" spans="1:9">
      <c r="A13">
        <v>9</v>
      </c>
      <c r="B13" s="38">
        <f>Grundlon!B12*'H2.Aktuel år'!$B$3</f>
        <v>2736.170160000011</v>
      </c>
      <c r="C13" s="38">
        <f>Grundlon!C12*'H2.Aktuel år'!$B$3</f>
        <v>2790.7556000000109</v>
      </c>
      <c r="D13" s="38">
        <f>Grundlon!D12*'H2.Aktuel år'!$B$3</f>
        <v>2828.5846400000114</v>
      </c>
      <c r="E13" s="38">
        <f>Grundlon!E12*'H2.Aktuel år'!$B$3</f>
        <v>2883.1700800000112</v>
      </c>
      <c r="F13" s="38">
        <f>Grundlon!F12*'H2.Aktuel år'!$B$3</f>
        <v>2920.9860800000115</v>
      </c>
      <c r="G13" s="38">
        <f>Grundlon!G12*'H2.Aktuel år'!$B$3</f>
        <v>2547.4332424000099</v>
      </c>
      <c r="H13" s="36">
        <f t="shared" si="0"/>
        <v>153</v>
      </c>
      <c r="I13">
        <f t="shared" si="1"/>
        <v>306</v>
      </c>
    </row>
    <row r="14" spans="1:9">
      <c r="A14">
        <v>10</v>
      </c>
      <c r="B14" s="38">
        <f>Grundlon!B13*'H2.Aktuel år'!$B$3</f>
        <v>2782.1231200000111</v>
      </c>
      <c r="C14" s="38">
        <f>Grundlon!C13*'H2.Aktuel år'!$B$3</f>
        <v>2838.1038400000111</v>
      </c>
      <c r="D14" s="38">
        <f>Grundlon!D13*'H2.Aktuel år'!$B$3</f>
        <v>2876.8456800000113</v>
      </c>
      <c r="E14" s="38">
        <f>Grundlon!E13*'H2.Aktuel år'!$B$3</f>
        <v>2932.8133600000115</v>
      </c>
      <c r="F14" s="38">
        <f>Grundlon!F13*'H2.Aktuel år'!$B$3</f>
        <v>2971.5812800000117</v>
      </c>
      <c r="G14" s="38">
        <f>Grundlon!G13*'H2.Aktuel år'!$B$3</f>
        <v>2590.5198800000103</v>
      </c>
      <c r="H14" s="36">
        <f t="shared" si="0"/>
        <v>156</v>
      </c>
      <c r="I14">
        <f t="shared" si="1"/>
        <v>312</v>
      </c>
    </row>
    <row r="15" spans="1:9">
      <c r="A15">
        <v>11</v>
      </c>
      <c r="B15" s="38">
        <f>Grundlon!B14*'H2.Aktuel år'!$B$3</f>
        <v>2818.3873600000111</v>
      </c>
      <c r="C15" s="38">
        <f>Grundlon!C14*'H2.Aktuel år'!$B$3</f>
        <v>2875.7503200000115</v>
      </c>
      <c r="D15" s="38">
        <f>Grundlon!D14*'H2.Aktuel år'!$B$3</f>
        <v>2915.4701600000117</v>
      </c>
      <c r="E15" s="38">
        <f>Grundlon!E14*'H2.Aktuel år'!$B$3</f>
        <v>2972.8331200000116</v>
      </c>
      <c r="F15" s="38">
        <f>Grundlon!F14*'H2.Aktuel år'!$B$3</f>
        <v>3012.539920000012</v>
      </c>
      <c r="G15" s="38">
        <f>Grundlon!G14*'H2.Aktuel år'!$B$3</f>
        <v>2634.7832472000105</v>
      </c>
      <c r="H15" s="36">
        <f t="shared" si="0"/>
        <v>158</v>
      </c>
      <c r="I15">
        <f t="shared" si="1"/>
        <v>316</v>
      </c>
    </row>
    <row r="16" spans="1:9">
      <c r="A16">
        <v>12</v>
      </c>
      <c r="B16" s="38">
        <f>Grundlon!B15*'H2.Aktuel år'!$B$3</f>
        <v>2866.9092000000114</v>
      </c>
      <c r="C16" s="38">
        <f>Grundlon!C15*'H2.Aktuel år'!$B$3</f>
        <v>2925.7196000000117</v>
      </c>
      <c r="D16" s="38">
        <f>Grundlon!D15*'H2.Aktuel år'!$B$3</f>
        <v>2966.4565600000119</v>
      </c>
      <c r="E16" s="38">
        <f>Grundlon!E15*'H2.Aktuel år'!$B$3</f>
        <v>3025.2408800000121</v>
      </c>
      <c r="F16" s="38">
        <f>Grundlon!F15*'H2.Aktuel år'!$B$3</f>
        <v>3065.9517600000122</v>
      </c>
      <c r="G16" s="38">
        <f>Grundlon!G15*'H2.Aktuel år'!$B$3</f>
        <v>2680.2700272000106</v>
      </c>
      <c r="H16" s="36">
        <f t="shared" si="0"/>
        <v>161</v>
      </c>
      <c r="I16">
        <f t="shared" si="1"/>
        <v>322</v>
      </c>
    </row>
    <row r="17" spans="1:11">
      <c r="A17">
        <v>13</v>
      </c>
      <c r="B17" s="38">
        <f>Grundlon!B16*'H2.Aktuel år'!$B$3</f>
        <v>2916.8002400000114</v>
      </c>
      <c r="C17" s="38">
        <f>Grundlon!C16*'H2.Aktuel år'!$B$3</f>
        <v>2977.0841600000117</v>
      </c>
      <c r="D17" s="38">
        <f>Grundlon!D16*'H2.Aktuel år'!$B$3</f>
        <v>3018.8121600000118</v>
      </c>
      <c r="E17" s="38">
        <f>Grundlon!E16*'H2.Aktuel år'!$B$3</f>
        <v>3079.1221600000122</v>
      </c>
      <c r="F17" s="38">
        <f>Grundlon!F16*'H2.Aktuel år'!$B$3</f>
        <v>3120.8371200000124</v>
      </c>
      <c r="G17" s="38">
        <f>Grundlon!G16*'H2.Aktuel år'!$B$3</f>
        <v>2727.0042136000106</v>
      </c>
      <c r="H17" s="36">
        <f t="shared" si="0"/>
        <v>164</v>
      </c>
      <c r="I17">
        <f t="shared" si="1"/>
        <v>328</v>
      </c>
      <c r="K17" s="37"/>
    </row>
    <row r="18" spans="1:11">
      <c r="A18">
        <v>14</v>
      </c>
      <c r="B18" s="38">
        <f>Grundlon!B17*'H2.Aktuel år'!$B$3</f>
        <v>2968.0474400000116</v>
      </c>
      <c r="C18" s="38">
        <f>Grundlon!C17*'H2.Aktuel år'!$B$3</f>
        <v>3029.8570400000121</v>
      </c>
      <c r="D18" s="38">
        <f>Grundlon!D17*'H2.Aktuel år'!$B$3</f>
        <v>3072.6412800000121</v>
      </c>
      <c r="E18" s="38">
        <f>Grundlon!E17*'H2.Aktuel år'!$B$3</f>
        <v>3134.4378400000123</v>
      </c>
      <c r="F18" s="38">
        <f>Grundlon!F17*'H2.Aktuel år'!$B$3</f>
        <v>3177.2220800000127</v>
      </c>
      <c r="G18" s="38">
        <f>Grundlon!G17*'H2.Aktuel år'!$B$3</f>
        <v>2775.0324896000106</v>
      </c>
      <c r="H18" s="36">
        <f t="shared" si="0"/>
        <v>167</v>
      </c>
      <c r="I18">
        <f t="shared" si="1"/>
        <v>334</v>
      </c>
    </row>
    <row r="19" spans="1:11">
      <c r="A19">
        <v>15</v>
      </c>
      <c r="B19" s="38">
        <f>Grundlon!B18*'H2.Aktuel år'!$B$3</f>
        <v>3020.7029600000119</v>
      </c>
      <c r="C19" s="38">
        <f>Grundlon!C18*'H2.Aktuel år'!$B$3</f>
        <v>3084.0512800000124</v>
      </c>
      <c r="D19" s="38">
        <f>Grundlon!D18*'H2.Aktuel år'!$B$3</f>
        <v>3127.9048000000125</v>
      </c>
      <c r="E19" s="38">
        <f>Grundlon!E18*'H2.Aktuel år'!$B$3</f>
        <v>3191.2792000000127</v>
      </c>
      <c r="F19" s="38">
        <f>Grundlon!F18*'H2.Aktuel år'!$B$3</f>
        <v>3235.1457600000126</v>
      </c>
      <c r="G19" s="38">
        <f>Grundlon!G18*'H2.Aktuel år'!$B$3</f>
        <v>2824.3551160000111</v>
      </c>
      <c r="H19" s="36">
        <f t="shared" si="0"/>
        <v>170</v>
      </c>
      <c r="I19">
        <f t="shared" si="1"/>
        <v>340</v>
      </c>
    </row>
    <row r="20" spans="1:11">
      <c r="A20">
        <v>16</v>
      </c>
      <c r="B20" s="38">
        <f>Grundlon!B19*'H2.Aktuel år'!$B$3</f>
        <v>3061.0487200000121</v>
      </c>
      <c r="C20" s="38">
        <f>Grundlon!C19*'H2.Aktuel år'!$B$3</f>
        <v>3126.0140000000124</v>
      </c>
      <c r="D20" s="38">
        <f>Grundlon!D19*'H2.Aktuel år'!$B$3</f>
        <v>3171.0020000000127</v>
      </c>
      <c r="E20" s="38">
        <f>Grundlon!E19*'H2.Aktuel år'!$B$3</f>
        <v>3235.9542400000128</v>
      </c>
      <c r="F20" s="38">
        <f>Grundlon!F19*'H2.Aktuel år'!$B$3</f>
        <v>3280.942240000013</v>
      </c>
      <c r="G20" s="38">
        <f>Grundlon!G19*'H2.Aktuel år'!$B$3</f>
        <v>2875.0659808000114</v>
      </c>
      <c r="H20" s="36">
        <f t="shared" si="0"/>
        <v>173</v>
      </c>
      <c r="I20">
        <f t="shared" si="1"/>
        <v>346</v>
      </c>
    </row>
    <row r="21" spans="1:11">
      <c r="A21">
        <v>17</v>
      </c>
      <c r="B21" s="38">
        <f>Grundlon!B20*'H2.Aktuel år'!$B$3</f>
        <v>3116.6252000000122</v>
      </c>
      <c r="C21" s="38">
        <f>Grundlon!C20*'H2.Aktuel år'!$B$3</f>
        <v>3183.2465600000128</v>
      </c>
      <c r="D21" s="38">
        <f>Grundlon!D20*'H2.Aktuel år'!$B$3</f>
        <v>3229.3690400000128</v>
      </c>
      <c r="E21" s="38">
        <f>Grundlon!E20*'H2.Aktuel år'!$B$3</f>
        <v>3295.9773600000131</v>
      </c>
      <c r="F21" s="38">
        <f>Grundlon!F20*'H2.Aktuel år'!$B$3</f>
        <v>3342.0737600000134</v>
      </c>
      <c r="G21" s="38">
        <f>Grundlon!G20*'H2.Aktuel år'!$B$3</f>
        <v>2927.1417424000115</v>
      </c>
      <c r="H21" s="36">
        <f t="shared" si="0"/>
        <v>176</v>
      </c>
      <c r="I21">
        <f t="shared" si="1"/>
        <v>352</v>
      </c>
    </row>
    <row r="22" spans="1:11">
      <c r="A22">
        <v>18</v>
      </c>
      <c r="B22" s="38">
        <f>Grundlon!B21*'H2.Aktuel år'!$B$3</f>
        <v>3173.7664800000125</v>
      </c>
      <c r="C22" s="38">
        <f>Grundlon!C21*'H2.Aktuel år'!$B$3</f>
        <v>3242.0830400000127</v>
      </c>
      <c r="D22" s="38">
        <f>Grundlon!D21*'H2.Aktuel år'!$B$3</f>
        <v>3289.366080000013</v>
      </c>
      <c r="E22" s="38">
        <f>Grundlon!E21*'H2.Aktuel år'!$B$3</f>
        <v>3357.6696000000134</v>
      </c>
      <c r="F22" s="38">
        <f>Grundlon!F21*'H2.Aktuel år'!$B$3</f>
        <v>3404.9396000000133</v>
      </c>
      <c r="G22" s="38">
        <f>Grundlon!G21*'H2.Aktuel år'!$B$3</f>
        <v>2980.6766800000119</v>
      </c>
      <c r="H22" s="36">
        <f t="shared" si="0"/>
        <v>179</v>
      </c>
      <c r="I22">
        <f t="shared" si="1"/>
        <v>358</v>
      </c>
    </row>
    <row r="23" spans="1:11">
      <c r="A23">
        <v>19</v>
      </c>
      <c r="B23" s="38">
        <f>Grundlon!B22*'H2.Aktuel år'!$B$3</f>
        <v>3216.4072800000126</v>
      </c>
      <c r="C23" s="38">
        <f>Grundlon!C22*'H2.Aktuel år'!$B$3</f>
        <v>3286.4581600000129</v>
      </c>
      <c r="D23" s="38">
        <f>Grundlon!D22*'H2.Aktuel år'!$B$3</f>
        <v>3334.927840000013</v>
      </c>
      <c r="E23" s="38">
        <f>Grundlon!E22*'H2.Aktuel år'!$B$3</f>
        <v>3404.9917600000135</v>
      </c>
      <c r="F23" s="38">
        <f>Grundlon!F22*'H2.Aktuel år'!$B$3</f>
        <v>3453.5005600000136</v>
      </c>
      <c r="G23" s="38">
        <f>Grundlon!G22*'H2.Aktuel år'!$B$3</f>
        <v>3035.6704024000119</v>
      </c>
      <c r="H23" s="36">
        <f t="shared" si="0"/>
        <v>182</v>
      </c>
      <c r="I23">
        <f t="shared" si="1"/>
        <v>364</v>
      </c>
    </row>
    <row r="24" spans="1:11">
      <c r="A24">
        <v>20</v>
      </c>
      <c r="B24" s="38">
        <f>Grundlon!B23*'H2.Aktuel år'!$B$3</f>
        <v>3260.6911200000127</v>
      </c>
      <c r="C24" s="38">
        <f>Grundlon!C23*'H2.Aktuel år'!$B$3</f>
        <v>3332.502400000013</v>
      </c>
      <c r="D24" s="38">
        <f>Grundlon!D23*'H2.Aktuel år'!$B$3</f>
        <v>3382.2369600000134</v>
      </c>
      <c r="E24" s="38">
        <f>Grundlon!E23*'H2.Aktuel år'!$B$3</f>
        <v>3454.0612800000135</v>
      </c>
      <c r="F24" s="38">
        <f>Grundlon!F23*'H2.Aktuel år'!$B$3</f>
        <v>3503.7697600000138</v>
      </c>
      <c r="G24" s="38">
        <f>Grundlon!G23*'H2.Aktuel år'!$B$3</f>
        <v>3092.1701144000122</v>
      </c>
      <c r="H24" s="36">
        <f t="shared" si="0"/>
        <v>186</v>
      </c>
      <c r="I24">
        <f t="shared" si="1"/>
        <v>372</v>
      </c>
    </row>
    <row r="25" spans="1:11">
      <c r="A25">
        <v>21</v>
      </c>
      <c r="B25" s="38">
        <f>Grundlon!B24*'H2.Aktuel år'!$B$3</f>
        <v>3314.6636800000133</v>
      </c>
      <c r="C25" s="38">
        <f>Grundlon!C24*'H2.Aktuel år'!$B$3</f>
        <v>3388.3266400000134</v>
      </c>
      <c r="D25" s="38">
        <f>Grundlon!D24*'H2.Aktuel år'!$B$3</f>
        <v>3439.3260800000135</v>
      </c>
      <c r="E25" s="38">
        <f>Grundlon!E24*'H2.Aktuel år'!$B$3</f>
        <v>3512.989040000014</v>
      </c>
      <c r="F25" s="38">
        <f>Grundlon!F24*'H2.Aktuel år'!$B$3</f>
        <v>3563.9884800000141</v>
      </c>
      <c r="G25" s="38">
        <f>Grundlon!G24*'H2.Aktuel år'!$B$3</f>
        <v>3150.2464928000127</v>
      </c>
      <c r="H25" s="36">
        <f t="shared" si="0"/>
        <v>189</v>
      </c>
      <c r="I25">
        <f t="shared" si="1"/>
        <v>378</v>
      </c>
    </row>
    <row r="26" spans="1:11">
      <c r="A26">
        <v>22</v>
      </c>
      <c r="B26" s="38">
        <f>Grundlon!B25*'H2.Aktuel år'!$B$3</f>
        <v>3364.6720800000135</v>
      </c>
      <c r="C26" s="38">
        <f>Grundlon!C25*'H2.Aktuel år'!$B$3</f>
        <v>3438.3350400000136</v>
      </c>
      <c r="D26" s="38">
        <f>Grundlon!D25*'H2.Aktuel år'!$B$3</f>
        <v>3489.3344800000136</v>
      </c>
      <c r="E26" s="38">
        <f>Grundlon!E25*'H2.Aktuel år'!$B$3</f>
        <v>3562.9974400000142</v>
      </c>
      <c r="F26" s="38">
        <f>Grundlon!F25*'H2.Aktuel år'!$B$3</f>
        <v>3613.9968800000142</v>
      </c>
      <c r="G26" s="38">
        <f>Grundlon!G25*'H2.Aktuel år'!$B$3</f>
        <v>3208.2746232000127</v>
      </c>
      <c r="H26" s="36">
        <f t="shared" si="0"/>
        <v>193</v>
      </c>
      <c r="I26">
        <f t="shared" si="1"/>
        <v>386</v>
      </c>
    </row>
    <row r="27" spans="1:11">
      <c r="A27">
        <v>23</v>
      </c>
      <c r="B27" s="38">
        <f>Grundlon!B26*'H2.Aktuel år'!$B$3</f>
        <v>3418.2664800000134</v>
      </c>
      <c r="C27" s="38">
        <f>Grundlon!C26*'H2.Aktuel år'!$B$3</f>
        <v>3489.8821600000138</v>
      </c>
      <c r="D27" s="38">
        <f>Grundlon!D26*'H2.Aktuel år'!$B$3</f>
        <v>3539.4993600000139</v>
      </c>
      <c r="E27" s="38">
        <f>Grundlon!E26*'H2.Aktuel år'!$B$3</f>
        <v>3611.1411200000143</v>
      </c>
      <c r="F27" s="38">
        <f>Grundlon!F26*'H2.Aktuel år'!$B$3</f>
        <v>3660.7192000000146</v>
      </c>
      <c r="G27" s="38">
        <f>Grundlon!G26*'H2.Aktuel år'!$B$3</f>
        <v>3266.1620520000129</v>
      </c>
      <c r="H27" s="36">
        <f t="shared" si="0"/>
        <v>196</v>
      </c>
      <c r="I27">
        <f t="shared" si="1"/>
        <v>392</v>
      </c>
    </row>
    <row r="28" spans="1:11">
      <c r="A28">
        <v>24</v>
      </c>
      <c r="B28" s="38">
        <f>Grundlon!B27*'H2.Aktuel år'!$B$3</f>
        <v>3473.4908800000139</v>
      </c>
      <c r="C28" s="38">
        <f>Grundlon!C27*'H2.Aktuel år'!$B$3</f>
        <v>3543.098400000014</v>
      </c>
      <c r="D28" s="38">
        <f>Grundlon!D27*'H2.Aktuel år'!$B$3</f>
        <v>3591.2942400000143</v>
      </c>
      <c r="E28" s="38">
        <f>Grundlon!E27*'H2.Aktuel år'!$B$3</f>
        <v>3660.9148000000146</v>
      </c>
      <c r="F28" s="38">
        <f>Grundlon!F27*'H2.Aktuel år'!$B$3</f>
        <v>3709.1106400000149</v>
      </c>
      <c r="G28" s="38">
        <f>Grundlon!G27*'H2.Aktuel år'!$B$3</f>
        <v>3325.6951288000132</v>
      </c>
      <c r="H28" s="36">
        <f t="shared" si="0"/>
        <v>200</v>
      </c>
      <c r="I28">
        <f t="shared" si="1"/>
        <v>400</v>
      </c>
    </row>
    <row r="29" spans="1:11">
      <c r="A29">
        <v>25</v>
      </c>
      <c r="B29" s="38">
        <f>Grundlon!B28*'H2.Aktuel år'!$B$3</f>
        <v>3529.9410400000138</v>
      </c>
      <c r="C29" s="38">
        <f>Grundlon!C28*'H2.Aktuel år'!$B$3</f>
        <v>3597.3839200000143</v>
      </c>
      <c r="D29" s="38">
        <f>Grundlon!D28*'H2.Aktuel år'!$B$3</f>
        <v>3644.0801600000145</v>
      </c>
      <c r="E29" s="38">
        <f>Grundlon!E28*'H2.Aktuel år'!$B$3</f>
        <v>3711.5230400000146</v>
      </c>
      <c r="F29" s="38">
        <f>Grundlon!F28*'H2.Aktuel år'!$B$3</f>
        <v>3758.206240000015</v>
      </c>
      <c r="G29" s="38">
        <f>Grundlon!G28*'H2.Aktuel år'!$B$3</f>
        <v>3386.7709680000135</v>
      </c>
      <c r="H29" s="36">
        <f t="shared" si="0"/>
        <v>203</v>
      </c>
      <c r="I29">
        <f t="shared" si="1"/>
        <v>406</v>
      </c>
    </row>
    <row r="30" spans="1:11">
      <c r="A30">
        <v>26</v>
      </c>
      <c r="B30" s="38">
        <f>Grundlon!B29*'H2.Aktuel år'!$B$3</f>
        <v>3587.708240000014</v>
      </c>
      <c r="C30" s="38">
        <f>Grundlon!C29*'H2.Aktuel år'!$B$3</f>
        <v>3652.8039200000144</v>
      </c>
      <c r="D30" s="38">
        <f>Grundlon!D29*'H2.Aktuel år'!$B$3</f>
        <v>3697.8832000000148</v>
      </c>
      <c r="E30" s="38">
        <f>Grundlon!E29*'H2.Aktuel år'!$B$3</f>
        <v>3762.9919200000149</v>
      </c>
      <c r="F30" s="38">
        <f>Grundlon!F29*'H2.Aktuel år'!$B$3</f>
        <v>3808.0581600000151</v>
      </c>
      <c r="G30" s="38">
        <f>Grundlon!G29*'H2.Aktuel år'!$B$3</f>
        <v>3449.452813600014</v>
      </c>
      <c r="H30" s="36">
        <f t="shared" si="0"/>
        <v>207</v>
      </c>
      <c r="I30">
        <f t="shared" si="1"/>
        <v>414</v>
      </c>
    </row>
    <row r="31" spans="1:11">
      <c r="A31">
        <v>27</v>
      </c>
      <c r="B31" s="38">
        <f>Grundlon!B30*'H2.Aktuel år'!$B$3</f>
        <v>3646.7142400000143</v>
      </c>
      <c r="C31" s="38">
        <f>Grundlon!C30*'H2.Aktuel år'!$B$3</f>
        <v>3709.3062400000144</v>
      </c>
      <c r="D31" s="38">
        <f>Grundlon!D30*'H2.Aktuel år'!$B$3</f>
        <v>3752.6772800000149</v>
      </c>
      <c r="E31" s="38">
        <f>Grundlon!E30*'H2.Aktuel år'!$B$3</f>
        <v>3815.2823200000153</v>
      </c>
      <c r="F31" s="38">
        <f>Grundlon!F30*'H2.Aktuel år'!$B$3</f>
        <v>3858.6403200000154</v>
      </c>
      <c r="G31" s="38">
        <f>Grundlon!G30*'H2.Aktuel år'!$B$3</f>
        <v>3513.7570960000144</v>
      </c>
      <c r="H31" s="36">
        <f t="shared" si="0"/>
        <v>211</v>
      </c>
      <c r="I31">
        <f t="shared" si="1"/>
        <v>422</v>
      </c>
    </row>
    <row r="32" spans="1:11">
      <c r="A32">
        <v>28</v>
      </c>
      <c r="B32" s="38">
        <f>Grundlon!B31*'H2.Aktuel år'!$B$3</f>
        <v>3707.0503200000148</v>
      </c>
      <c r="C32" s="38">
        <f>Grundlon!C31*'H2.Aktuel år'!$B$3</f>
        <v>3767.0082400000147</v>
      </c>
      <c r="D32" s="38">
        <f>Grundlon!D31*'H2.Aktuel år'!$B$3</f>
        <v>3808.5145600000151</v>
      </c>
      <c r="E32" s="38">
        <f>Grundlon!E31*'H2.Aktuel år'!$B$3</f>
        <v>3868.4594400000151</v>
      </c>
      <c r="F32" s="38">
        <f>Grundlon!F31*'H2.Aktuel år'!$B$3</f>
        <v>3909.9788000000153</v>
      </c>
      <c r="G32" s="38">
        <f>Grundlon!G31*'H2.Aktuel år'!$B$3</f>
        <v>3579.7698792000137</v>
      </c>
      <c r="H32" s="36">
        <f t="shared" si="0"/>
        <v>215</v>
      </c>
      <c r="I32">
        <f t="shared" si="1"/>
        <v>430</v>
      </c>
    </row>
    <row r="33" spans="1:9">
      <c r="A33">
        <v>29</v>
      </c>
      <c r="B33" s="38">
        <f>Grundlon!B32*'H2.Aktuel år'!$B$3</f>
        <v>3768.7425600000147</v>
      </c>
      <c r="C33" s="38">
        <f>Grundlon!C32*'H2.Aktuel år'!$B$3</f>
        <v>3825.8577600000153</v>
      </c>
      <c r="D33" s="38">
        <f>Grundlon!D32*'H2.Aktuel år'!$B$3</f>
        <v>3865.4080800000152</v>
      </c>
      <c r="E33" s="38">
        <f>Grundlon!E32*'H2.Aktuel år'!$B$3</f>
        <v>3922.5232800000153</v>
      </c>
      <c r="F33" s="38">
        <f>Grundlon!F32*'H2.Aktuel år'!$B$3</f>
        <v>3962.0605600000158</v>
      </c>
      <c r="G33" s="38">
        <f>Grundlon!G32*'H2.Aktuel år'!$B$3</f>
        <v>3647.4834696000144</v>
      </c>
      <c r="H33" s="36">
        <f t="shared" si="0"/>
        <v>219</v>
      </c>
      <c r="I33">
        <f t="shared" si="1"/>
        <v>438</v>
      </c>
    </row>
    <row r="34" spans="1:9">
      <c r="A34">
        <v>30</v>
      </c>
      <c r="B34" s="38">
        <f>Grundlon!B33*'H2.Aktuel år'!$B$3</f>
        <v>3831.843120000015</v>
      </c>
      <c r="C34" s="38">
        <f>Grundlon!C33*'H2.Aktuel år'!$B$3</f>
        <v>3885.9330400000154</v>
      </c>
      <c r="D34" s="38">
        <f>Grundlon!D33*'H2.Aktuel år'!$B$3</f>
        <v>3923.3708800000154</v>
      </c>
      <c r="E34" s="38">
        <f>Grundlon!E33*'H2.Aktuel år'!$B$3</f>
        <v>3977.4347200000157</v>
      </c>
      <c r="F34" s="38">
        <f>Grundlon!F33*'H2.Aktuel år'!$B$3</f>
        <v>4014.885600000016</v>
      </c>
      <c r="G34" s="38">
        <f>Grundlon!G33*'H2.Aktuel år'!$B$3</f>
        <v>3716.9834096000145</v>
      </c>
      <c r="H34" s="36">
        <f t="shared" si="0"/>
        <v>223</v>
      </c>
      <c r="I34">
        <f t="shared" si="1"/>
        <v>446</v>
      </c>
    </row>
    <row r="35" spans="1:9">
      <c r="A35">
        <v>31</v>
      </c>
      <c r="B35" s="38">
        <f>Grundlon!B34*'H2.Aktuel år'!$B$3</f>
        <v>3896.2868000000153</v>
      </c>
      <c r="C35" s="38">
        <f>Grundlon!C34*'H2.Aktuel år'!$B$3</f>
        <v>3947.1558400000158</v>
      </c>
      <c r="D35" s="38">
        <f>Grundlon!D34*'H2.Aktuel år'!$B$3</f>
        <v>3982.3899200000155</v>
      </c>
      <c r="E35" s="38">
        <f>Grundlon!E34*'H2.Aktuel år'!$B$3</f>
        <v>4033.258960000016</v>
      </c>
      <c r="F35" s="38">
        <f>Grundlon!F34*'H2.Aktuel år'!$B$3</f>
        <v>4068.4800000000159</v>
      </c>
      <c r="G35" s="38">
        <f>Grundlon!G34*'H2.Aktuel år'!$B$3</f>
        <v>3788.2848256000152</v>
      </c>
      <c r="H35" s="36">
        <f t="shared" si="0"/>
        <v>228</v>
      </c>
      <c r="I35">
        <f t="shared" si="1"/>
        <v>456</v>
      </c>
    </row>
    <row r="36" spans="1:9">
      <c r="A36">
        <v>32</v>
      </c>
      <c r="B36" s="38">
        <f>Grundlon!B35*'H2.Aktuel år'!$B$3</f>
        <v>3962.2300800000157</v>
      </c>
      <c r="C36" s="38">
        <f>Grundlon!C35*'H2.Aktuel år'!$B$3</f>
        <v>4009.6696000000156</v>
      </c>
      <c r="D36" s="38">
        <f>Grundlon!D35*'H2.Aktuel år'!$B$3</f>
        <v>4042.5173600000162</v>
      </c>
      <c r="E36" s="38">
        <f>Grundlon!E35*'H2.Aktuel år'!$B$3</f>
        <v>4089.9829600000162</v>
      </c>
      <c r="F36" s="38">
        <f>Grundlon!F35*'H2.Aktuel år'!$B$3</f>
        <v>4122.8176800000165</v>
      </c>
      <c r="G36" s="38">
        <f>Grundlon!G35*'H2.Aktuel år'!$B$3</f>
        <v>3861.4727384000157</v>
      </c>
      <c r="H36" s="36">
        <f t="shared" si="0"/>
        <v>232</v>
      </c>
      <c r="I36">
        <f t="shared" si="1"/>
        <v>464</v>
      </c>
    </row>
    <row r="37" spans="1:9">
      <c r="A37">
        <v>33</v>
      </c>
      <c r="B37" s="38">
        <f>Grundlon!B36*'H2.Aktuel år'!$B$3</f>
        <v>4029.5686400000159</v>
      </c>
      <c r="C37" s="38">
        <f>Grundlon!C36*'H2.Aktuel år'!$B$3</f>
        <v>4073.3700000000163</v>
      </c>
      <c r="D37" s="38">
        <f>Grundlon!D36*'H2.Aktuel år'!$B$3</f>
        <v>4103.7271200000159</v>
      </c>
      <c r="E37" s="38">
        <f>Grundlon!E36*'H2.Aktuel år'!$B$3</f>
        <v>4147.5415200000161</v>
      </c>
      <c r="F37" s="38">
        <f>Grundlon!F36*'H2.Aktuel år'!$B$3</f>
        <v>4177.8856000000169</v>
      </c>
      <c r="G37" s="38">
        <f>Grundlon!G36*'H2.Aktuel år'!$B$3</f>
        <v>3936.5386720000156</v>
      </c>
      <c r="H37" s="36">
        <f t="shared" si="0"/>
        <v>236</v>
      </c>
      <c r="I37">
        <f t="shared" si="1"/>
        <v>472</v>
      </c>
    </row>
    <row r="38" spans="1:9">
      <c r="A38">
        <v>34</v>
      </c>
      <c r="B38" s="38">
        <f>Grundlon!B37*'H2.Aktuel år'!$B$3</f>
        <v>4098.4459200000165</v>
      </c>
      <c r="C38" s="38">
        <f>Grundlon!C37*'H2.Aktuel år'!$B$3</f>
        <v>4138.4135200000164</v>
      </c>
      <c r="D38" s="38">
        <f>Grundlon!D37*'H2.Aktuel år'!$B$3</f>
        <v>4166.0844000000161</v>
      </c>
      <c r="E38" s="38">
        <f>Grundlon!E37*'H2.Aktuel år'!$B$3</f>
        <v>4206.0259200000164</v>
      </c>
      <c r="F38" s="38">
        <f>Grundlon!F37*'H2.Aktuel år'!$B$3</f>
        <v>4233.696800000017</v>
      </c>
      <c r="G38" s="38">
        <f>Grundlon!G37*'H2.Aktuel år'!$B$3</f>
        <v>4013.5896848000157</v>
      </c>
      <c r="H38" s="36">
        <f t="shared" si="0"/>
        <v>241</v>
      </c>
      <c r="I38">
        <f t="shared" si="1"/>
        <v>482</v>
      </c>
    </row>
    <row r="39" spans="1:9">
      <c r="A39">
        <v>35</v>
      </c>
      <c r="B39" s="38">
        <f>Grundlon!B38*'H2.Aktuel år'!$B$3</f>
        <v>4168.8488800000168</v>
      </c>
      <c r="C39" s="38">
        <f>Grundlon!C38*'H2.Aktuel år'!$B$3</f>
        <v>4204.7480000000169</v>
      </c>
      <c r="D39" s="38">
        <f>Grundlon!D38*'H2.Aktuel år'!$B$3</f>
        <v>4229.5761600000169</v>
      </c>
      <c r="E39" s="38">
        <f>Grundlon!E38*'H2.Aktuel år'!$B$3</f>
        <v>4265.4752800000169</v>
      </c>
      <c r="F39" s="38">
        <f>Grundlon!F38*'H2.Aktuel år'!$B$3</f>
        <v>4290.303440000017</v>
      </c>
      <c r="G39" s="38">
        <f>Grundlon!G38*'H2.Aktuel år'!$B$3</f>
        <v>4092.6634624000162</v>
      </c>
      <c r="H39" s="36">
        <f t="shared" si="0"/>
        <v>246</v>
      </c>
      <c r="I39">
        <f t="shared" si="1"/>
        <v>492</v>
      </c>
    </row>
    <row r="40" spans="1:9">
      <c r="A40">
        <v>36</v>
      </c>
      <c r="B40" s="38">
        <f>Grundlon!B39*'H2.Aktuel år'!$B$3</f>
        <v>4240.7905600000167</v>
      </c>
      <c r="C40" s="38">
        <f>Grundlon!C39*'H2.Aktuel år'!$B$3</f>
        <v>4272.347360000017</v>
      </c>
      <c r="D40" s="38">
        <f>Grundlon!D39*'H2.Aktuel år'!$B$3</f>
        <v>4294.2024000000174</v>
      </c>
      <c r="E40" s="38">
        <f>Grundlon!E39*'H2.Aktuel år'!$B$3</f>
        <v>4325.7722400000175</v>
      </c>
      <c r="F40" s="38">
        <f>Grundlon!F39*'H2.Aktuel år'!$B$3</f>
        <v>4347.6142400000172</v>
      </c>
      <c r="G40" s="38">
        <f>Grundlon!G39*'H2.Aktuel år'!$B$3</f>
        <v>4173.7738272000161</v>
      </c>
      <c r="H40" s="36">
        <f t="shared" si="0"/>
        <v>251</v>
      </c>
      <c r="I40">
        <f t="shared" si="1"/>
        <v>502</v>
      </c>
    </row>
    <row r="41" spans="1:9">
      <c r="A41">
        <v>37</v>
      </c>
      <c r="B41" s="38">
        <f>Grundlon!B40*'H2.Aktuel år'!$B$3</f>
        <v>4314.3231200000173</v>
      </c>
      <c r="C41" s="38">
        <f>Grundlon!C40*'H2.Aktuel år'!$B$3</f>
        <v>4341.3159200000173</v>
      </c>
      <c r="D41" s="38">
        <f>Grundlon!D40*'H2.Aktuel år'!$B$3</f>
        <v>4359.9892000000173</v>
      </c>
      <c r="E41" s="38">
        <f>Grundlon!E40*'H2.Aktuel år'!$B$3</f>
        <v>4386.9820000000173</v>
      </c>
      <c r="F41" s="38">
        <f>Grundlon!F40*'H2.Aktuel år'!$B$3</f>
        <v>4405.6813600000178</v>
      </c>
      <c r="G41" s="38">
        <f>Grundlon!G40*'H2.Aktuel år'!$B$3</f>
        <v>4257.0037136000174</v>
      </c>
      <c r="H41" s="36">
        <f t="shared" si="0"/>
        <v>256</v>
      </c>
      <c r="I41">
        <f t="shared" si="1"/>
        <v>512</v>
      </c>
    </row>
    <row r="42" spans="1:9">
      <c r="A42">
        <v>38</v>
      </c>
      <c r="B42" s="38">
        <f>Grundlon!B41*'H2.Aktuel år'!$B$3</f>
        <v>4391.976320000017</v>
      </c>
      <c r="C42" s="38">
        <f>Grundlon!C41*'H2.Aktuel år'!$B$3</f>
        <v>4414.5616000000173</v>
      </c>
      <c r="D42" s="38">
        <f>Grundlon!D41*'H2.Aktuel år'!$B$3</f>
        <v>4430.1965600000176</v>
      </c>
      <c r="E42" s="38">
        <f>Grundlon!E41*'H2.Aktuel år'!$B$3</f>
        <v>4452.7818400000178</v>
      </c>
      <c r="F42" s="38">
        <f>Grundlon!F41*'H2.Aktuel år'!$B$3</f>
        <v>4468.4428800000178</v>
      </c>
      <c r="G42" s="38">
        <f>Grundlon!G41*'H2.Aktuel år'!$B$3</f>
        <v>4344.0005952000174</v>
      </c>
      <c r="H42" s="36">
        <f t="shared" si="0"/>
        <v>261</v>
      </c>
      <c r="I42">
        <f t="shared" si="1"/>
        <v>522</v>
      </c>
    </row>
    <row r="43" spans="1:9">
      <c r="A43">
        <v>39</v>
      </c>
      <c r="B43" s="38">
        <f>Grundlon!B42*'H2.Aktuel år'!$B$3</f>
        <v>4470.3858400000181</v>
      </c>
      <c r="C43" s="38">
        <f>Grundlon!C42*'H2.Aktuel år'!$B$3</f>
        <v>4487.7942400000175</v>
      </c>
      <c r="D43" s="38">
        <f>Grundlon!D42*'H2.Aktuel år'!$B$3</f>
        <v>4499.8432000000175</v>
      </c>
      <c r="E43" s="38">
        <f>Grundlon!E42*'H2.Aktuel år'!$B$3</f>
        <v>4517.2255200000182</v>
      </c>
      <c r="F43" s="38">
        <f>Grundlon!F42*'H2.Aktuel år'!$B$3</f>
        <v>4529.2744800000182</v>
      </c>
      <c r="G43" s="38">
        <f>Grundlon!G42*'H2.Aktuel år'!$B$3</f>
        <v>4433.4619064000171</v>
      </c>
      <c r="H43" s="36">
        <f t="shared" si="0"/>
        <v>266</v>
      </c>
      <c r="I43">
        <f t="shared" si="1"/>
        <v>532</v>
      </c>
    </row>
    <row r="44" spans="1:9">
      <c r="A44">
        <v>40</v>
      </c>
      <c r="B44" s="38">
        <f>Grundlon!B43*'H2.Aktuel år'!$B$3</f>
        <v>4550.516640000018</v>
      </c>
      <c r="C44" s="38">
        <f>Grundlon!C43*'H2.Aktuel år'!$B$3</f>
        <v>4562.4091200000184</v>
      </c>
      <c r="D44" s="38">
        <f>Grundlon!D43*'H2.Aktuel år'!$B$3</f>
        <v>4570.6504000000177</v>
      </c>
      <c r="E44" s="38">
        <f>Grundlon!E43*'H2.Aktuel år'!$B$3</f>
        <v>4582.5428800000182</v>
      </c>
      <c r="F44" s="38">
        <f>Grundlon!F43*'H2.Aktuel år'!$B$3</f>
        <v>4590.7841600000183</v>
      </c>
      <c r="G44" s="38">
        <f>Grundlon!G43*'H2.Aktuel år'!$B$3</f>
        <v>4525.2380784000179</v>
      </c>
      <c r="H44" s="36">
        <f t="shared" si="0"/>
        <v>272</v>
      </c>
      <c r="I44">
        <f t="shared" si="1"/>
        <v>544</v>
      </c>
    </row>
    <row r="45" spans="1:9">
      <c r="A45">
        <v>41</v>
      </c>
      <c r="B45" s="38">
        <f>Grundlon!B44*'H2.Aktuel år'!$B$3</f>
        <v>4632.3948000000182</v>
      </c>
      <c r="C45" s="38">
        <f>Grundlon!C44*'H2.Aktuel år'!$B$3</f>
        <v>4638.4844800000183</v>
      </c>
      <c r="D45" s="38">
        <f>Grundlon!D44*'H2.Aktuel år'!$B$3</f>
        <v>4642.7224800000185</v>
      </c>
      <c r="E45" s="38">
        <f>Grundlon!E44*'H2.Aktuel år'!$B$3</f>
        <v>4648.8252000000184</v>
      </c>
      <c r="F45" s="38">
        <f>Grundlon!F44*'H2.Aktuel år'!$B$3</f>
        <v>4653.0371200000181</v>
      </c>
      <c r="G45" s="38">
        <f>Grundlon!G44*'H2.Aktuel år'!$B$3</f>
        <v>4619.4099592000184</v>
      </c>
      <c r="H45" s="36">
        <f t="shared" si="0"/>
        <v>277</v>
      </c>
      <c r="I45">
        <f t="shared" si="1"/>
        <v>554</v>
      </c>
    </row>
    <row r="46" spans="1:9">
      <c r="A46">
        <v>42</v>
      </c>
      <c r="B46" s="38">
        <f>Grundlon!B45*'H2.Aktuel år'!$B$3</f>
        <v>4716.0464000000184</v>
      </c>
      <c r="C46" s="38">
        <f>Grundlon!C45*'H2.Aktuel år'!$B$3</f>
        <v>4716.0464000000184</v>
      </c>
      <c r="D46" s="38">
        <f>Grundlon!D45*'H2.Aktuel år'!$B$3</f>
        <v>4716.0464000000184</v>
      </c>
      <c r="E46" s="38">
        <f>Grundlon!E45*'H2.Aktuel år'!$B$3</f>
        <v>4716.0464000000184</v>
      </c>
      <c r="F46" s="38">
        <f>Grundlon!F45*'H2.Aktuel år'!$B$3</f>
        <v>4716.0464000000184</v>
      </c>
      <c r="G46" s="38">
        <f>Grundlon!G45*'H2.Aktuel år'!$B$3</f>
        <v>4716.0359680000192</v>
      </c>
      <c r="H46" s="36">
        <f t="shared" si="0"/>
        <v>283</v>
      </c>
      <c r="I46">
        <f t="shared" si="1"/>
        <v>566</v>
      </c>
    </row>
    <row r="47" spans="1:9">
      <c r="A47">
        <v>43</v>
      </c>
      <c r="B47" s="38">
        <f>Grundlon!B46*'H2.Aktuel år'!$B$3</f>
        <v>4820.7445600000192</v>
      </c>
      <c r="C47" s="38">
        <f>Grundlon!C46*'H2.Aktuel år'!$B$3</f>
        <v>4820.7445600000192</v>
      </c>
      <c r="D47" s="38">
        <f>Grundlon!D46*'H2.Aktuel år'!$B$3</f>
        <v>4820.7445600000192</v>
      </c>
      <c r="E47" s="38">
        <f>Grundlon!E46*'H2.Aktuel år'!$B$3</f>
        <v>4820.7445600000192</v>
      </c>
      <c r="F47" s="38">
        <f>Grundlon!F46*'H2.Aktuel år'!$B$3</f>
        <v>4820.7445600000192</v>
      </c>
      <c r="G47" s="38">
        <f>Grundlon!G46*'H2.Aktuel år'!$B$3</f>
        <v>4820.7384312000195</v>
      </c>
      <c r="H47" s="36">
        <f t="shared" si="0"/>
        <v>290</v>
      </c>
      <c r="I47">
        <f t="shared" si="1"/>
        <v>580</v>
      </c>
    </row>
    <row r="48" spans="1:9">
      <c r="A48">
        <v>44</v>
      </c>
      <c r="B48" s="38">
        <f>Grundlon!B47*'H2.Aktuel år'!$B$3</f>
        <v>4928.2984800000195</v>
      </c>
      <c r="C48" s="38">
        <f>Grundlon!C47*'H2.Aktuel år'!$B$3</f>
        <v>4928.2984800000195</v>
      </c>
      <c r="D48" s="38">
        <f>Grundlon!D47*'H2.Aktuel år'!$B$3</f>
        <v>4928.2984800000195</v>
      </c>
      <c r="E48" s="38">
        <f>Grundlon!E47*'H2.Aktuel år'!$B$3</f>
        <v>4928.2984800000195</v>
      </c>
      <c r="F48" s="38">
        <f>Grundlon!F47*'H2.Aktuel år'!$B$3</f>
        <v>4928.2984800000195</v>
      </c>
      <c r="G48" s="38">
        <f>Grundlon!G47*'H2.Aktuel år'!$B$3</f>
        <v>4928.3023920000196</v>
      </c>
      <c r="H48" s="36">
        <f t="shared" si="0"/>
        <v>296</v>
      </c>
      <c r="I48">
        <f t="shared" si="1"/>
        <v>592</v>
      </c>
    </row>
    <row r="49" spans="1:9">
      <c r="A49">
        <v>45</v>
      </c>
      <c r="B49" s="38">
        <f>Grundlon!B48*'H2.Aktuel år'!$B$3</f>
        <v>5038.8385600000202</v>
      </c>
      <c r="C49" s="38">
        <f>Grundlon!C48*'H2.Aktuel år'!$B$3</f>
        <v>5038.8385600000202</v>
      </c>
      <c r="D49" s="38">
        <f>Grundlon!D48*'H2.Aktuel år'!$B$3</f>
        <v>5038.8385600000202</v>
      </c>
      <c r="E49" s="38">
        <f>Grundlon!E48*'H2.Aktuel år'!$B$3</f>
        <v>5038.8385600000202</v>
      </c>
      <c r="F49" s="38">
        <f>Grundlon!F48*'H2.Aktuel år'!$B$3</f>
        <v>5038.8385600000202</v>
      </c>
      <c r="G49" s="38">
        <f>Grundlon!G48*'H2.Aktuel år'!$B$3</f>
        <v>5038.8423416000196</v>
      </c>
      <c r="H49" s="36">
        <f t="shared" si="0"/>
        <v>303</v>
      </c>
      <c r="I49">
        <f t="shared" si="1"/>
        <v>606</v>
      </c>
    </row>
    <row r="50" spans="1:9">
      <c r="A50">
        <v>46</v>
      </c>
      <c r="B50" s="38">
        <f>Grundlon!B49*'H2.Aktuel år'!$B$3</f>
        <v>5152.4300000000203</v>
      </c>
      <c r="C50" s="38">
        <f>Grundlon!C49*'H2.Aktuel år'!$B$3</f>
        <v>5152.4300000000203</v>
      </c>
      <c r="D50" s="38">
        <f>Grundlon!D49*'H2.Aktuel år'!$B$3</f>
        <v>5152.4300000000203</v>
      </c>
      <c r="E50" s="38">
        <f>Grundlon!E49*'H2.Aktuel år'!$B$3</f>
        <v>5152.4300000000203</v>
      </c>
      <c r="F50" s="38">
        <f>Grundlon!F49*'H2.Aktuel år'!$B$3</f>
        <v>5152.4300000000203</v>
      </c>
      <c r="G50" s="38">
        <f>Grundlon!G49*'H2.Aktuel år'!$B$3</f>
        <v>5152.4266096000201</v>
      </c>
      <c r="H50" s="36">
        <f t="shared" si="0"/>
        <v>310</v>
      </c>
      <c r="I50">
        <f t="shared" si="1"/>
        <v>620</v>
      </c>
    </row>
    <row r="51" spans="1:9">
      <c r="A51">
        <v>47</v>
      </c>
      <c r="B51" s="38">
        <f>Grundlon!B50*'H2.Aktuel år'!$B$3</f>
        <v>5389.0277600000209</v>
      </c>
      <c r="C51" s="38">
        <f>Grundlon!C50*'H2.Aktuel år'!$B$3</f>
        <v>5389.0277600000209</v>
      </c>
      <c r="D51" s="38">
        <f>Grundlon!D50*'H2.Aktuel år'!$B$3</f>
        <v>5389.0277600000209</v>
      </c>
      <c r="E51" s="38">
        <f>Grundlon!E50*'H2.Aktuel år'!$B$3</f>
        <v>5389.0277600000209</v>
      </c>
      <c r="F51" s="38">
        <f>Grundlon!F50*'H2.Aktuel år'!$B$3</f>
        <v>5389.0277600000209</v>
      </c>
      <c r="G51" s="38">
        <f>Grundlon!G50*'H2.Aktuel år'!$B$3</f>
        <v>5389.0260648000212</v>
      </c>
      <c r="H51" s="36">
        <f t="shared" si="0"/>
        <v>324</v>
      </c>
      <c r="I51">
        <f t="shared" si="1"/>
        <v>648</v>
      </c>
    </row>
    <row r="52" spans="1:9">
      <c r="A52">
        <v>48</v>
      </c>
      <c r="B52" s="38">
        <f>Grundlon!B51*'H2.Aktuel år'!$B$3</f>
        <v>5750.9920800000227</v>
      </c>
      <c r="C52" s="38">
        <f>Grundlon!C51*'H2.Aktuel år'!$B$3</f>
        <v>5750.9920800000227</v>
      </c>
      <c r="D52" s="38">
        <f>Grundlon!D51*'H2.Aktuel år'!$B$3</f>
        <v>5750.9920800000227</v>
      </c>
      <c r="E52" s="38">
        <f>Grundlon!E51*'H2.Aktuel år'!$B$3</f>
        <v>5750.9920800000227</v>
      </c>
      <c r="F52" s="38">
        <f>Grundlon!F51*'H2.Aktuel år'!$B$3</f>
        <v>5750.9920800000227</v>
      </c>
      <c r="G52" s="38">
        <f>Grundlon!G51*'H2.Aktuel år'!$B$3</f>
        <v>5750.9757800000225</v>
      </c>
      <c r="H52">
        <f t="shared" si="0"/>
        <v>345</v>
      </c>
      <c r="I52">
        <f t="shared" si="1"/>
        <v>690</v>
      </c>
    </row>
    <row r="53" spans="1:9">
      <c r="A53">
        <v>49</v>
      </c>
      <c r="B53" s="38">
        <f>Grundlon!B52*'H2.Aktuel år'!$B$3</f>
        <v>6152.0242400000243</v>
      </c>
      <c r="C53" s="38">
        <f>Grundlon!C52*'H2.Aktuel år'!$B$3</f>
        <v>6152.0242400000243</v>
      </c>
      <c r="D53" s="38">
        <f>Grundlon!D52*'H2.Aktuel år'!$B$3</f>
        <v>6152.0242400000243</v>
      </c>
      <c r="E53" s="38">
        <f>Grundlon!E52*'H2.Aktuel år'!$B$3</f>
        <v>6152.0242400000243</v>
      </c>
      <c r="F53" s="38">
        <f>Grundlon!F52*'H2.Aktuel år'!$B$3</f>
        <v>6152.0242400000243</v>
      </c>
      <c r="G53" s="38">
        <f>Grundlon!G52*'H2.Aktuel år'!$B$3</f>
        <v>6152.0229360000249</v>
      </c>
      <c r="H53">
        <f t="shared" si="0"/>
        <v>370</v>
      </c>
      <c r="I53">
        <f t="shared" si="1"/>
        <v>740</v>
      </c>
    </row>
    <row r="54" spans="1:9">
      <c r="A54">
        <v>50</v>
      </c>
      <c r="B54" s="38">
        <f>Grundlon!B53*'H2.Aktuel år'!$B$3</f>
        <v>6795.0657600000268</v>
      </c>
      <c r="C54" s="38">
        <f>Grundlon!C53*'H2.Aktuel år'!$B$3</f>
        <v>6795.0657600000268</v>
      </c>
      <c r="D54" s="38">
        <f>Grundlon!D53*'H2.Aktuel år'!$B$3</f>
        <v>6795.0657600000268</v>
      </c>
      <c r="E54" s="38">
        <f>Grundlon!E53*'H2.Aktuel år'!$B$3</f>
        <v>6795.0657600000268</v>
      </c>
      <c r="F54" s="38">
        <f>Grundlon!F53*'H2.Aktuel år'!$B$3</f>
        <v>6795.0657600000268</v>
      </c>
      <c r="G54" s="38">
        <f>Grundlon!G53*'H2.Aktuel år'!$B$3</f>
        <v>6795.0718888000265</v>
      </c>
      <c r="H54">
        <f t="shared" si="0"/>
        <v>408</v>
      </c>
      <c r="I54">
        <f t="shared" si="1"/>
        <v>816</v>
      </c>
    </row>
    <row r="55" spans="1:9">
      <c r="A55">
        <v>51</v>
      </c>
      <c r="B55" s="38">
        <f>Grundlon!B54*'H2.Aktuel år'!$B$3</f>
        <v>7731.5594400000309</v>
      </c>
      <c r="C55" s="38">
        <f>Grundlon!C54*'H2.Aktuel år'!$B$3</f>
        <v>7731.5594400000309</v>
      </c>
      <c r="D55" s="38">
        <f>Grundlon!D54*'H2.Aktuel år'!$B$3</f>
        <v>7731.5594400000309</v>
      </c>
      <c r="E55" s="38">
        <f>Grundlon!E54*'H2.Aktuel år'!$B$3</f>
        <v>7731.5594400000309</v>
      </c>
      <c r="F55" s="38">
        <f>Grundlon!F54*'H2.Aktuel år'!$B$3</f>
        <v>7731.5594400000309</v>
      </c>
      <c r="G55" s="38">
        <f>Grundlon!G54*'H2.Aktuel år'!$B$3</f>
        <v>7731.5718280000301</v>
      </c>
      <c r="H55">
        <f t="shared" si="0"/>
        <v>464</v>
      </c>
      <c r="I55">
        <f t="shared" si="1"/>
        <v>928</v>
      </c>
    </row>
    <row r="56" spans="1:9">
      <c r="A56">
        <v>52</v>
      </c>
      <c r="B56" s="38">
        <f>Grundlon!B55*'H2.Aktuel år'!$B$3</f>
        <v>8488.9487200000331</v>
      </c>
      <c r="C56" s="38">
        <f>Grundlon!C55*'H2.Aktuel år'!$B$3</f>
        <v>8488.9487200000331</v>
      </c>
      <c r="D56" s="38">
        <f>Grundlon!D55*'H2.Aktuel år'!$B$3</f>
        <v>8488.9487200000331</v>
      </c>
      <c r="E56" s="38">
        <f>Grundlon!E55*'H2.Aktuel år'!$B$3</f>
        <v>8488.9487200000331</v>
      </c>
      <c r="F56" s="38">
        <f>Grundlon!F55*'H2.Aktuel år'!$B$3</f>
        <v>8488.9487200000331</v>
      </c>
      <c r="G56" s="38">
        <f>Grundlon!G55*'H2.Aktuel år'!$B$3</f>
        <v>8488.9553704000336</v>
      </c>
      <c r="H56">
        <f t="shared" si="0"/>
        <v>510</v>
      </c>
      <c r="I56">
        <f t="shared" si="1"/>
        <v>1020</v>
      </c>
    </row>
    <row r="57" spans="1:9">
      <c r="A57">
        <v>53</v>
      </c>
      <c r="B57" s="38">
        <f>Grundlon!B56*'H2.Aktuel år'!$B$3</f>
        <v>9498.4403200000379</v>
      </c>
      <c r="C57" s="38">
        <f>Grundlon!C56*'H2.Aktuel år'!$B$3</f>
        <v>9498.4403200000379</v>
      </c>
      <c r="D57" s="38">
        <f>Grundlon!D56*'H2.Aktuel år'!$B$3</f>
        <v>9498.4403200000379</v>
      </c>
      <c r="E57" s="38">
        <f>Grundlon!E56*'H2.Aktuel år'!$B$3</f>
        <v>9498.4403200000379</v>
      </c>
      <c r="F57" s="38">
        <f>Grundlon!F56*'H2.Aktuel år'!$B$3</f>
        <v>9498.4403200000379</v>
      </c>
      <c r="G57" s="38">
        <f>Grundlon!G56*'H2.Aktuel år'!$B$3</f>
        <v>9498.4584456000375</v>
      </c>
      <c r="H57">
        <f t="shared" si="0"/>
        <v>571</v>
      </c>
      <c r="I57">
        <f t="shared" si="1"/>
        <v>1142</v>
      </c>
    </row>
    <row r="58" spans="1:9">
      <c r="A58">
        <v>54</v>
      </c>
      <c r="B58" s="38">
        <f>Grundlon!B57*'H2.Aktuel år'!$B$3</f>
        <v>10710.860400000043</v>
      </c>
      <c r="C58" s="38">
        <f>Grundlon!C57*'H2.Aktuel år'!$B$3</f>
        <v>10710.860400000043</v>
      </c>
      <c r="D58" s="38">
        <f>Grundlon!D57*'H2.Aktuel år'!$B$3</f>
        <v>10710.860400000043</v>
      </c>
      <c r="E58" s="38">
        <f>Grundlon!E57*'H2.Aktuel år'!$B$3</f>
        <v>10710.860400000043</v>
      </c>
      <c r="F58" s="38">
        <f>Grundlon!F57*'H2.Aktuel år'!$B$3</f>
        <v>10710.860400000043</v>
      </c>
      <c r="G58" s="38">
        <f>Grundlon!G57*'H2.Aktuel år'!$B$3</f>
        <v>10710.864442400043</v>
      </c>
      <c r="H58">
        <f t="shared" si="0"/>
        <v>643</v>
      </c>
      <c r="I58">
        <f t="shared" si="1"/>
        <v>1286</v>
      </c>
    </row>
    <row r="59" spans="1:9">
      <c r="A59">
        <v>55</v>
      </c>
      <c r="B59" s="38">
        <f>Grundlon!B58*'H2.Aktuel år'!$B$3</f>
        <v>12070.502080000047</v>
      </c>
      <c r="C59" s="38">
        <f>Grundlon!C58*'H2.Aktuel år'!$B$3</f>
        <v>12070.502080000047</v>
      </c>
      <c r="D59" s="38">
        <f>Grundlon!D58*'H2.Aktuel år'!$B$3</f>
        <v>12070.502080000047</v>
      </c>
      <c r="E59" s="38">
        <f>Grundlon!E58*'H2.Aktuel år'!$B$3</f>
        <v>12070.502080000047</v>
      </c>
      <c r="F59" s="38">
        <f>Grundlon!F58*'H2.Aktuel år'!$B$3</f>
        <v>12070.502080000047</v>
      </c>
      <c r="G59" s="38">
        <f>Grundlon!G58*'H2.Aktuel år'!$B$3</f>
        <v>12070.505470400049</v>
      </c>
      <c r="H59">
        <f t="shared" si="0"/>
        <v>725</v>
      </c>
      <c r="I59">
        <f t="shared" si="1"/>
        <v>1450</v>
      </c>
    </row>
    <row r="62" spans="1:9">
      <c r="A62" s="18" t="s">
        <v>1430</v>
      </c>
      <c r="B62" s="20"/>
      <c r="D62" s="1"/>
    </row>
    <row r="63" spans="1:9">
      <c r="A63" s="20"/>
      <c r="B63" s="20"/>
      <c r="D63" s="1"/>
    </row>
  </sheetData>
  <mergeCells count="1">
    <mergeCell ref="B2:G2"/>
  </mergeCells>
  <phoneticPr fontId="55" type="noConversion"/>
  <hyperlinks>
    <hyperlink ref="A62" location="4Hovedskema!Print_Area" display="Tilbage til Hovedskemaet" xr:uid="{00000000-0004-0000-1400-000000000000}"/>
  </hyperlinks>
  <printOptions horizontalCentered="1" verticalCentered="1"/>
  <pageMargins left="0.78749999999999998" right="0.6694444444444444" top="0.98402777777777772" bottom="0.98402777777777772" header="0.51180555555555551" footer="0.51180555555555551"/>
  <headerFooter alignWithMargins="0">
    <oddHeader>&amp;C&amp;14Aktuel løntabel</oddHeader>
    <oddFooter>&amp;LFriskolernes Kontor&amp;CKursusmateriale 2008&amp;R                                                Bilag H2</oddFooter>
  </headerFooter>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C516"/>
  <sheetViews>
    <sheetView topLeftCell="A194" workbookViewId="0">
      <selection activeCell="C48" sqref="C48"/>
    </sheetView>
  </sheetViews>
  <sheetFormatPr baseColWidth="10" defaultColWidth="11.5" defaultRowHeight="13"/>
  <cols>
    <col min="1" max="3" width="10.83203125"/>
  </cols>
  <sheetData>
    <row r="1" spans="1:3">
      <c r="A1" s="185" t="s">
        <v>1085</v>
      </c>
      <c r="B1" s="185" t="s">
        <v>1431</v>
      </c>
      <c r="C1" s="185" t="s">
        <v>1432</v>
      </c>
    </row>
    <row r="2" spans="1:3">
      <c r="A2" s="2071">
        <v>101077</v>
      </c>
      <c r="B2" t="s">
        <v>1433</v>
      </c>
      <c r="C2">
        <v>1</v>
      </c>
    </row>
    <row r="3" spans="1:3">
      <c r="A3" s="2071">
        <v>101086</v>
      </c>
      <c r="B3" t="s">
        <v>1433</v>
      </c>
      <c r="C3">
        <v>1</v>
      </c>
    </row>
    <row r="4" spans="1:3">
      <c r="A4" s="2071">
        <v>101129</v>
      </c>
      <c r="B4" t="s">
        <v>1433</v>
      </c>
      <c r="C4">
        <v>1</v>
      </c>
    </row>
    <row r="5" spans="1:3">
      <c r="A5" s="2071">
        <v>101135</v>
      </c>
      <c r="B5" t="s">
        <v>1433</v>
      </c>
      <c r="C5">
        <v>1</v>
      </c>
    </row>
    <row r="6" spans="1:3">
      <c r="A6" s="2071">
        <v>101149</v>
      </c>
      <c r="B6" t="s">
        <v>1433</v>
      </c>
      <c r="C6">
        <v>1</v>
      </c>
    </row>
    <row r="7" spans="1:3">
      <c r="A7" s="2071">
        <v>101152</v>
      </c>
      <c r="B7" t="s">
        <v>1433</v>
      </c>
      <c r="C7">
        <v>1</v>
      </c>
    </row>
    <row r="8" spans="1:3">
      <c r="A8" s="2071">
        <v>101162</v>
      </c>
      <c r="B8" t="s">
        <v>1433</v>
      </c>
      <c r="C8">
        <v>1</v>
      </c>
    </row>
    <row r="9" spans="1:3">
      <c r="A9" s="2071">
        <v>101163</v>
      </c>
      <c r="B9" t="s">
        <v>1433</v>
      </c>
      <c r="C9">
        <v>1</v>
      </c>
    </row>
    <row r="10" spans="1:3">
      <c r="A10" s="2071">
        <v>101169</v>
      </c>
      <c r="B10" t="s">
        <v>1433</v>
      </c>
      <c r="C10">
        <v>1</v>
      </c>
    </row>
    <row r="11" spans="1:3">
      <c r="A11" s="2071">
        <v>101172</v>
      </c>
      <c r="B11" t="s">
        <v>1433</v>
      </c>
      <c r="C11">
        <v>1</v>
      </c>
    </row>
    <row r="12" spans="1:3">
      <c r="A12" s="2071">
        <v>101180</v>
      </c>
      <c r="B12" t="s">
        <v>1433</v>
      </c>
      <c r="C12">
        <v>1</v>
      </c>
    </row>
    <row r="13" spans="1:3">
      <c r="A13" s="2071">
        <v>101184</v>
      </c>
      <c r="B13" t="s">
        <v>1433</v>
      </c>
      <c r="C13">
        <v>1</v>
      </c>
    </row>
    <row r="14" spans="1:3">
      <c r="A14" s="2071">
        <v>101185</v>
      </c>
      <c r="B14" t="s">
        <v>1433</v>
      </c>
      <c r="C14">
        <v>1</v>
      </c>
    </row>
    <row r="15" spans="1:3">
      <c r="A15" s="2071">
        <v>101189</v>
      </c>
      <c r="B15" t="s">
        <v>1433</v>
      </c>
      <c r="C15">
        <v>1</v>
      </c>
    </row>
    <row r="16" spans="1:3">
      <c r="A16" s="2071">
        <v>101516</v>
      </c>
      <c r="B16" t="s">
        <v>1433</v>
      </c>
      <c r="C16">
        <v>1</v>
      </c>
    </row>
    <row r="17" spans="1:3">
      <c r="A17" s="2071">
        <v>101526</v>
      </c>
      <c r="B17" t="s">
        <v>1433</v>
      </c>
      <c r="C17">
        <v>1</v>
      </c>
    </row>
    <row r="18" spans="1:3">
      <c r="A18" s="2071">
        <v>101533</v>
      </c>
      <c r="B18" t="s">
        <v>1433</v>
      </c>
      <c r="C18">
        <v>1</v>
      </c>
    </row>
    <row r="19" spans="1:3">
      <c r="A19" s="2071">
        <v>101541</v>
      </c>
      <c r="B19" t="s">
        <v>1433</v>
      </c>
      <c r="C19">
        <v>1</v>
      </c>
    </row>
    <row r="20" spans="1:3">
      <c r="A20" s="2071">
        <v>101564</v>
      </c>
      <c r="B20" t="s">
        <v>1433</v>
      </c>
      <c r="C20">
        <v>1</v>
      </c>
    </row>
    <row r="21" spans="1:3">
      <c r="A21" s="2071">
        <v>101581</v>
      </c>
      <c r="B21" t="s">
        <v>1433</v>
      </c>
      <c r="C21">
        <v>1</v>
      </c>
    </row>
    <row r="22" spans="1:3">
      <c r="A22" s="2071">
        <v>101584</v>
      </c>
      <c r="B22" t="s">
        <v>1433</v>
      </c>
      <c r="C22">
        <v>1</v>
      </c>
    </row>
    <row r="23" spans="1:3">
      <c r="A23" s="2071">
        <v>101593</v>
      </c>
      <c r="B23" t="s">
        <v>1433</v>
      </c>
      <c r="C23">
        <v>1</v>
      </c>
    </row>
    <row r="24" spans="1:3">
      <c r="A24" s="2071">
        <v>147031</v>
      </c>
      <c r="B24" t="s">
        <v>1433</v>
      </c>
      <c r="C24">
        <v>1</v>
      </c>
    </row>
    <row r="25" spans="1:3">
      <c r="A25" s="2071">
        <v>151022</v>
      </c>
      <c r="B25" t="s">
        <v>1433</v>
      </c>
      <c r="C25">
        <v>1</v>
      </c>
    </row>
    <row r="26" spans="1:3">
      <c r="A26" s="2071">
        <v>157015</v>
      </c>
      <c r="B26" t="s">
        <v>1433</v>
      </c>
      <c r="C26">
        <v>1</v>
      </c>
    </row>
    <row r="27" spans="1:3">
      <c r="A27" s="2071">
        <v>157020</v>
      </c>
      <c r="B27" t="s">
        <v>1433</v>
      </c>
      <c r="C27">
        <v>1</v>
      </c>
    </row>
    <row r="28" spans="1:3">
      <c r="A28" s="2071">
        <v>159040</v>
      </c>
      <c r="B28" t="s">
        <v>1433</v>
      </c>
      <c r="C28">
        <v>1</v>
      </c>
    </row>
    <row r="29" spans="1:3">
      <c r="A29" s="2071">
        <v>181010</v>
      </c>
      <c r="B29" t="s">
        <v>1433</v>
      </c>
      <c r="C29">
        <v>1</v>
      </c>
    </row>
    <row r="30" spans="1:3">
      <c r="A30" s="2071">
        <v>217020</v>
      </c>
      <c r="B30" t="s">
        <v>1433</v>
      </c>
      <c r="C30">
        <v>1</v>
      </c>
    </row>
    <row r="31" spans="1:3">
      <c r="A31" s="2071">
        <v>217029</v>
      </c>
      <c r="B31" t="s">
        <v>1433</v>
      </c>
      <c r="C31">
        <v>1</v>
      </c>
    </row>
    <row r="32" spans="1:3">
      <c r="A32" s="2071">
        <v>219022</v>
      </c>
      <c r="B32" t="s">
        <v>1433</v>
      </c>
      <c r="C32">
        <v>1</v>
      </c>
    </row>
    <row r="33" spans="1:3">
      <c r="A33" s="2071">
        <v>280542</v>
      </c>
      <c r="B33" t="s">
        <v>1433</v>
      </c>
      <c r="C33">
        <v>1</v>
      </c>
    </row>
    <row r="34" spans="1:3">
      <c r="A34" s="2071">
        <v>280553</v>
      </c>
      <c r="B34" t="s">
        <v>1433</v>
      </c>
      <c r="C34">
        <v>1</v>
      </c>
    </row>
    <row r="35" spans="1:3">
      <c r="A35" s="2071">
        <v>400038</v>
      </c>
      <c r="B35" t="s">
        <v>1433</v>
      </c>
      <c r="C35">
        <v>1</v>
      </c>
    </row>
    <row r="36" spans="1:3">
      <c r="A36" s="2071">
        <v>280039</v>
      </c>
      <c r="B36" t="s">
        <v>1433</v>
      </c>
      <c r="C36">
        <v>1</v>
      </c>
    </row>
    <row r="37" spans="1:3">
      <c r="A37" s="2071">
        <v>259020</v>
      </c>
      <c r="B37" t="s">
        <v>1433</v>
      </c>
      <c r="C37">
        <v>2</v>
      </c>
    </row>
    <row r="38" spans="1:3">
      <c r="A38" s="2071">
        <v>263003</v>
      </c>
      <c r="B38" t="s">
        <v>1433</v>
      </c>
      <c r="C38">
        <v>2</v>
      </c>
    </row>
    <row r="39" spans="1:3">
      <c r="A39" s="2071">
        <v>265018</v>
      </c>
      <c r="B39" t="s">
        <v>1433</v>
      </c>
      <c r="C39">
        <v>2</v>
      </c>
    </row>
    <row r="40" spans="1:3">
      <c r="A40" s="2071">
        <v>265030</v>
      </c>
      <c r="B40" t="s">
        <v>1433</v>
      </c>
      <c r="C40">
        <v>2</v>
      </c>
    </row>
    <row r="41" spans="1:3">
      <c r="A41" s="2071">
        <v>280461</v>
      </c>
      <c r="B41" t="s">
        <v>1433</v>
      </c>
      <c r="C41">
        <v>2</v>
      </c>
    </row>
    <row r="42" spans="1:3">
      <c r="A42" s="2071">
        <v>280464</v>
      </c>
      <c r="B42" t="s">
        <v>1433</v>
      </c>
      <c r="C42">
        <v>2</v>
      </c>
    </row>
    <row r="43" spans="1:3">
      <c r="A43" s="2071">
        <v>305012</v>
      </c>
      <c r="B43" t="s">
        <v>1433</v>
      </c>
      <c r="C43">
        <v>2</v>
      </c>
    </row>
    <row r="44" spans="1:3">
      <c r="A44" s="2071">
        <v>305015</v>
      </c>
      <c r="B44" t="s">
        <v>1433</v>
      </c>
      <c r="C44">
        <v>2</v>
      </c>
    </row>
    <row r="45" spans="1:3">
      <c r="A45" s="2071">
        <v>319010</v>
      </c>
      <c r="B45" t="s">
        <v>1433</v>
      </c>
      <c r="C45">
        <v>2</v>
      </c>
    </row>
    <row r="46" spans="1:3">
      <c r="A46" s="2071">
        <v>323013</v>
      </c>
      <c r="B46" t="s">
        <v>1433</v>
      </c>
      <c r="C46">
        <v>2</v>
      </c>
    </row>
    <row r="47" spans="1:3">
      <c r="A47" s="2071">
        <v>325007</v>
      </c>
      <c r="B47" t="s">
        <v>1433</v>
      </c>
      <c r="C47">
        <v>2</v>
      </c>
    </row>
    <row r="48" spans="1:3">
      <c r="A48" s="2071">
        <v>325008</v>
      </c>
      <c r="B48" t="s">
        <v>1433</v>
      </c>
      <c r="C48">
        <v>2</v>
      </c>
    </row>
    <row r="49" spans="1:3">
      <c r="A49" s="2071">
        <v>329018</v>
      </c>
      <c r="B49" t="s">
        <v>1433</v>
      </c>
      <c r="C49">
        <v>2</v>
      </c>
    </row>
    <row r="50" spans="1:3">
      <c r="A50" s="2071">
        <v>329022</v>
      </c>
      <c r="B50" t="s">
        <v>1433</v>
      </c>
      <c r="C50">
        <v>2</v>
      </c>
    </row>
    <row r="51" spans="1:3">
      <c r="A51" s="2071">
        <v>331008</v>
      </c>
      <c r="B51" t="s">
        <v>1433</v>
      </c>
      <c r="C51">
        <v>2</v>
      </c>
    </row>
    <row r="52" spans="1:3">
      <c r="A52" s="2071">
        <v>333012</v>
      </c>
      <c r="B52" t="s">
        <v>1433</v>
      </c>
      <c r="C52">
        <v>2</v>
      </c>
    </row>
    <row r="53" spans="1:3">
      <c r="A53" s="2071">
        <v>333023</v>
      </c>
      <c r="B53" t="s">
        <v>1433</v>
      </c>
      <c r="C53">
        <v>2</v>
      </c>
    </row>
    <row r="54" spans="1:3">
      <c r="A54" s="2071">
        <v>345009</v>
      </c>
      <c r="B54" t="s">
        <v>1433</v>
      </c>
      <c r="C54">
        <v>2</v>
      </c>
    </row>
    <row r="55" spans="1:3">
      <c r="A55" s="2071">
        <v>361005</v>
      </c>
      <c r="B55" t="s">
        <v>1433</v>
      </c>
      <c r="C55">
        <v>2</v>
      </c>
    </row>
    <row r="56" spans="1:3">
      <c r="A56" s="2071">
        <v>365012</v>
      </c>
      <c r="B56" t="s">
        <v>1433</v>
      </c>
      <c r="C56">
        <v>2</v>
      </c>
    </row>
    <row r="57" spans="1:3">
      <c r="A57" s="2071">
        <v>370001</v>
      </c>
      <c r="B57" t="s">
        <v>1433</v>
      </c>
      <c r="C57">
        <v>2</v>
      </c>
    </row>
    <row r="58" spans="1:3">
      <c r="A58" s="2071">
        <v>375005</v>
      </c>
      <c r="B58" t="s">
        <v>1433</v>
      </c>
      <c r="C58">
        <v>2</v>
      </c>
    </row>
    <row r="59" spans="1:3">
      <c r="A59" s="2071">
        <v>385004</v>
      </c>
      <c r="B59" t="s">
        <v>1433</v>
      </c>
      <c r="C59">
        <v>2</v>
      </c>
    </row>
    <row r="60" spans="1:3">
      <c r="A60" s="2071">
        <v>389009</v>
      </c>
      <c r="B60" t="s">
        <v>1433</v>
      </c>
      <c r="C60">
        <v>2</v>
      </c>
    </row>
    <row r="61" spans="1:3">
      <c r="A61" s="2071">
        <v>397010</v>
      </c>
      <c r="B61" t="s">
        <v>1433</v>
      </c>
      <c r="C61">
        <v>2</v>
      </c>
    </row>
    <row r="62" spans="1:3">
      <c r="A62" s="2071">
        <v>397014</v>
      </c>
      <c r="B62" t="s">
        <v>1433</v>
      </c>
      <c r="C62">
        <v>2</v>
      </c>
    </row>
    <row r="63" spans="1:3">
      <c r="A63" s="2071">
        <v>265036</v>
      </c>
      <c r="B63" t="s">
        <v>1433</v>
      </c>
      <c r="C63">
        <v>2</v>
      </c>
    </row>
    <row r="64" spans="1:3">
      <c r="A64" s="2071">
        <v>269006</v>
      </c>
      <c r="B64" t="s">
        <v>1433</v>
      </c>
      <c r="C64">
        <v>2</v>
      </c>
    </row>
    <row r="65" spans="1:3">
      <c r="A65" s="2071">
        <v>280038</v>
      </c>
      <c r="B65" t="s">
        <v>1433</v>
      </c>
      <c r="C65">
        <v>2</v>
      </c>
    </row>
    <row r="66" spans="1:3">
      <c r="A66" s="2071">
        <v>280055</v>
      </c>
      <c r="B66" t="s">
        <v>1433</v>
      </c>
      <c r="C66">
        <v>2</v>
      </c>
    </row>
    <row r="67" spans="1:3">
      <c r="A67" s="2071">
        <v>280380</v>
      </c>
      <c r="B67" t="s">
        <v>1433</v>
      </c>
      <c r="C67">
        <v>2</v>
      </c>
    </row>
    <row r="68" spans="1:3">
      <c r="A68" s="2071">
        <v>280381</v>
      </c>
      <c r="B68" t="s">
        <v>1433</v>
      </c>
      <c r="C68">
        <v>2</v>
      </c>
    </row>
    <row r="69" spans="1:3">
      <c r="A69" s="2071">
        <v>280391</v>
      </c>
      <c r="B69" t="s">
        <v>1433</v>
      </c>
      <c r="C69">
        <v>2</v>
      </c>
    </row>
    <row r="70" spans="1:3">
      <c r="A70" s="2071">
        <v>280393</v>
      </c>
      <c r="B70" t="s">
        <v>1433</v>
      </c>
      <c r="C70">
        <v>2</v>
      </c>
    </row>
    <row r="71" spans="1:3">
      <c r="A71" s="2071">
        <v>280396</v>
      </c>
      <c r="B71" t="s">
        <v>1433</v>
      </c>
      <c r="C71">
        <v>2</v>
      </c>
    </row>
    <row r="72" spans="1:3">
      <c r="A72" s="2071">
        <v>280532</v>
      </c>
      <c r="B72" t="s">
        <v>1433</v>
      </c>
      <c r="C72">
        <v>2</v>
      </c>
    </row>
    <row r="73" spans="1:3">
      <c r="A73" s="2071">
        <v>280539</v>
      </c>
      <c r="B73" t="s">
        <v>1433</v>
      </c>
      <c r="C73">
        <v>3</v>
      </c>
    </row>
    <row r="74" spans="1:3">
      <c r="A74" s="2071">
        <v>280550</v>
      </c>
      <c r="B74" t="s">
        <v>1433</v>
      </c>
      <c r="C74">
        <v>3</v>
      </c>
    </row>
    <row r="75" spans="1:3">
      <c r="A75" s="2071">
        <v>427009</v>
      </c>
      <c r="B75" t="s">
        <v>1433</v>
      </c>
      <c r="C75">
        <v>3</v>
      </c>
    </row>
    <row r="76" spans="1:3">
      <c r="A76" s="2071">
        <v>427010</v>
      </c>
      <c r="B76" t="s">
        <v>1433</v>
      </c>
      <c r="C76">
        <v>3</v>
      </c>
    </row>
    <row r="77" spans="1:3">
      <c r="A77" s="2071">
        <v>431011</v>
      </c>
      <c r="B77" t="s">
        <v>1433</v>
      </c>
      <c r="C77">
        <v>3</v>
      </c>
    </row>
    <row r="78" spans="1:3">
      <c r="A78" s="2071">
        <v>431014</v>
      </c>
      <c r="B78" t="s">
        <v>1433</v>
      </c>
      <c r="C78">
        <v>3</v>
      </c>
    </row>
    <row r="79" spans="1:3">
      <c r="A79" s="2071">
        <v>433008</v>
      </c>
      <c r="B79" t="s">
        <v>1433</v>
      </c>
      <c r="C79">
        <v>3</v>
      </c>
    </row>
    <row r="80" spans="1:3">
      <c r="A80" s="2071">
        <v>435006</v>
      </c>
      <c r="B80" t="s">
        <v>1433</v>
      </c>
      <c r="C80">
        <v>3</v>
      </c>
    </row>
    <row r="81" spans="1:3">
      <c r="A81" s="2071">
        <v>437004</v>
      </c>
      <c r="B81" t="s">
        <v>1433</v>
      </c>
      <c r="C81">
        <v>3</v>
      </c>
    </row>
    <row r="82" spans="1:3">
      <c r="A82" s="2071">
        <v>439007</v>
      </c>
      <c r="B82" t="s">
        <v>1433</v>
      </c>
      <c r="C82">
        <v>3</v>
      </c>
    </row>
    <row r="83" spans="1:3">
      <c r="A83" s="2071">
        <v>445009</v>
      </c>
      <c r="B83" t="s">
        <v>1433</v>
      </c>
      <c r="C83">
        <v>3</v>
      </c>
    </row>
    <row r="84" spans="1:3">
      <c r="A84" s="2071">
        <v>445010</v>
      </c>
      <c r="B84" t="s">
        <v>1433</v>
      </c>
      <c r="C84">
        <v>3</v>
      </c>
    </row>
    <row r="85" spans="1:3">
      <c r="A85" s="2071">
        <v>461041</v>
      </c>
      <c r="B85" t="s">
        <v>1433</v>
      </c>
      <c r="C85">
        <v>3</v>
      </c>
    </row>
    <row r="86" spans="1:3">
      <c r="A86" s="2071">
        <v>461044</v>
      </c>
      <c r="B86" t="s">
        <v>1433</v>
      </c>
      <c r="C86">
        <v>3</v>
      </c>
    </row>
    <row r="87" spans="1:3">
      <c r="A87" s="2071">
        <v>461046</v>
      </c>
      <c r="B87" t="s">
        <v>1433</v>
      </c>
      <c r="C87">
        <v>3</v>
      </c>
    </row>
    <row r="88" spans="1:3">
      <c r="A88" s="2071">
        <v>461047</v>
      </c>
      <c r="B88" t="s">
        <v>1433</v>
      </c>
      <c r="C88">
        <v>3</v>
      </c>
    </row>
    <row r="89" spans="1:3">
      <c r="A89" s="2071">
        <v>461054</v>
      </c>
      <c r="B89" t="s">
        <v>1433</v>
      </c>
      <c r="C89">
        <v>3</v>
      </c>
    </row>
    <row r="90" spans="1:3">
      <c r="A90" s="2071">
        <v>461070</v>
      </c>
      <c r="B90" t="s">
        <v>1433</v>
      </c>
      <c r="C90">
        <v>3</v>
      </c>
    </row>
    <row r="91" spans="1:3">
      <c r="A91" s="2071">
        <v>461078</v>
      </c>
      <c r="B91" t="s">
        <v>1433</v>
      </c>
      <c r="C91">
        <v>3</v>
      </c>
    </row>
    <row r="92" spans="1:3">
      <c r="A92" s="2071">
        <v>461079</v>
      </c>
      <c r="B92" t="s">
        <v>1433</v>
      </c>
      <c r="C92">
        <v>3</v>
      </c>
    </row>
    <row r="93" spans="1:3">
      <c r="A93" s="2071">
        <v>461109</v>
      </c>
      <c r="B93" t="s">
        <v>1433</v>
      </c>
      <c r="C93">
        <v>3</v>
      </c>
    </row>
    <row r="94" spans="1:3">
      <c r="A94" s="2071">
        <v>473015</v>
      </c>
      <c r="B94" t="s">
        <v>1433</v>
      </c>
      <c r="C94">
        <v>3</v>
      </c>
    </row>
    <row r="95" spans="1:3">
      <c r="A95" s="2071">
        <v>473022</v>
      </c>
      <c r="B95" t="s">
        <v>1433</v>
      </c>
      <c r="C95">
        <v>3</v>
      </c>
    </row>
    <row r="96" spans="1:3">
      <c r="A96" s="2071">
        <v>475004</v>
      </c>
      <c r="B96" t="s">
        <v>1433</v>
      </c>
      <c r="C96">
        <v>3</v>
      </c>
    </row>
    <row r="97" spans="1:3">
      <c r="A97" s="2071">
        <v>477004</v>
      </c>
      <c r="B97" t="s">
        <v>1433</v>
      </c>
      <c r="C97">
        <v>3</v>
      </c>
    </row>
    <row r="98" spans="1:3">
      <c r="A98" s="2071">
        <v>477005</v>
      </c>
      <c r="B98" t="s">
        <v>1433</v>
      </c>
      <c r="C98">
        <v>3</v>
      </c>
    </row>
    <row r="99" spans="1:3">
      <c r="A99" s="2071">
        <v>477006</v>
      </c>
      <c r="B99" t="s">
        <v>1433</v>
      </c>
      <c r="C99">
        <v>3</v>
      </c>
    </row>
    <row r="100" spans="1:3">
      <c r="A100" s="2071">
        <v>479016</v>
      </c>
      <c r="B100" t="s">
        <v>1433</v>
      </c>
      <c r="C100">
        <v>3</v>
      </c>
    </row>
    <row r="101" spans="1:3">
      <c r="A101" s="2071">
        <v>492001</v>
      </c>
      <c r="B101" t="s">
        <v>1433</v>
      </c>
      <c r="C101">
        <v>3</v>
      </c>
    </row>
    <row r="102" spans="1:3">
      <c r="A102" s="2071">
        <v>495006</v>
      </c>
      <c r="B102" t="s">
        <v>1433</v>
      </c>
      <c r="C102">
        <v>3</v>
      </c>
    </row>
    <row r="103" spans="1:3">
      <c r="A103" s="2071">
        <v>495007</v>
      </c>
      <c r="B103" t="s">
        <v>1433</v>
      </c>
      <c r="C103">
        <v>3</v>
      </c>
    </row>
    <row r="104" spans="1:3">
      <c r="A104" s="2071">
        <v>497005</v>
      </c>
      <c r="B104" t="s">
        <v>1433</v>
      </c>
      <c r="C104">
        <v>3</v>
      </c>
    </row>
    <row r="105" spans="1:3">
      <c r="A105" s="2071">
        <v>497006</v>
      </c>
      <c r="B105" t="s">
        <v>1433</v>
      </c>
      <c r="C105">
        <v>3</v>
      </c>
    </row>
    <row r="106" spans="1:3">
      <c r="A106" s="2071">
        <v>499005</v>
      </c>
      <c r="B106" t="s">
        <v>1433</v>
      </c>
      <c r="C106">
        <v>3</v>
      </c>
    </row>
    <row r="107" spans="1:3">
      <c r="A107" s="2071">
        <v>280216</v>
      </c>
      <c r="B107" t="s">
        <v>1433</v>
      </c>
      <c r="C107">
        <v>3</v>
      </c>
    </row>
    <row r="108" spans="1:3">
      <c r="A108" s="2071">
        <v>280226</v>
      </c>
      <c r="B108" t="s">
        <v>1433</v>
      </c>
      <c r="C108">
        <v>3</v>
      </c>
    </row>
    <row r="109" spans="1:3">
      <c r="A109" s="2071">
        <v>280463</v>
      </c>
      <c r="B109" t="s">
        <v>1433</v>
      </c>
      <c r="C109">
        <v>4</v>
      </c>
    </row>
    <row r="110" spans="1:3">
      <c r="A110" s="2071">
        <v>280465</v>
      </c>
      <c r="B110" t="s">
        <v>1433</v>
      </c>
      <c r="C110">
        <v>4</v>
      </c>
    </row>
    <row r="111" spans="1:3">
      <c r="A111" s="2071">
        <v>280466</v>
      </c>
      <c r="B111" t="s">
        <v>1433</v>
      </c>
      <c r="C111">
        <v>4</v>
      </c>
    </row>
    <row r="112" spans="1:3">
      <c r="A112" s="2071">
        <v>280474</v>
      </c>
      <c r="B112" t="s">
        <v>1433</v>
      </c>
      <c r="C112">
        <v>4</v>
      </c>
    </row>
    <row r="113" spans="1:3">
      <c r="A113" s="2071">
        <v>501003</v>
      </c>
      <c r="B113" t="s">
        <v>1433</v>
      </c>
      <c r="C113">
        <v>4</v>
      </c>
    </row>
    <row r="114" spans="1:3">
      <c r="A114" s="2071">
        <v>510006</v>
      </c>
      <c r="B114" t="s">
        <v>1433</v>
      </c>
      <c r="C114">
        <v>4</v>
      </c>
    </row>
    <row r="115" spans="1:3">
      <c r="A115" s="2071">
        <v>513008</v>
      </c>
      <c r="B115" t="s">
        <v>1433</v>
      </c>
      <c r="C115">
        <v>4</v>
      </c>
    </row>
    <row r="116" spans="1:3">
      <c r="A116" s="2071">
        <v>519008</v>
      </c>
      <c r="B116" t="s">
        <v>1433</v>
      </c>
      <c r="C116">
        <v>4</v>
      </c>
    </row>
    <row r="117" spans="1:3">
      <c r="A117" s="2071">
        <v>521011</v>
      </c>
      <c r="B117" t="s">
        <v>1433</v>
      </c>
      <c r="C117">
        <v>4</v>
      </c>
    </row>
    <row r="118" spans="1:3">
      <c r="A118" s="2071">
        <v>523012</v>
      </c>
      <c r="B118" t="s">
        <v>1433</v>
      </c>
      <c r="C118">
        <v>4</v>
      </c>
    </row>
    <row r="119" spans="1:3">
      <c r="A119" s="2071">
        <v>523013</v>
      </c>
      <c r="B119" t="s">
        <v>1433</v>
      </c>
      <c r="C119">
        <v>4</v>
      </c>
    </row>
    <row r="120" spans="1:3">
      <c r="A120" s="2071">
        <v>527008</v>
      </c>
      <c r="B120" t="s">
        <v>1433</v>
      </c>
      <c r="C120">
        <v>4</v>
      </c>
    </row>
    <row r="121" spans="1:3">
      <c r="A121" s="2071">
        <v>533005</v>
      </c>
      <c r="B121" t="s">
        <v>1433</v>
      </c>
      <c r="C121">
        <v>4</v>
      </c>
    </row>
    <row r="122" spans="1:3">
      <c r="A122" s="2071">
        <v>535007</v>
      </c>
      <c r="B122" t="s">
        <v>1433</v>
      </c>
      <c r="C122">
        <v>4</v>
      </c>
    </row>
    <row r="123" spans="1:3">
      <c r="A123" s="2071">
        <v>545011</v>
      </c>
      <c r="B123" t="s">
        <v>1433</v>
      </c>
      <c r="C123">
        <v>4</v>
      </c>
    </row>
    <row r="124" spans="1:3">
      <c r="A124" s="2071">
        <v>550001</v>
      </c>
      <c r="B124" t="s">
        <v>1433</v>
      </c>
      <c r="C124">
        <v>4</v>
      </c>
    </row>
    <row r="125" spans="1:3">
      <c r="A125" s="2071">
        <v>553009</v>
      </c>
      <c r="B125" t="s">
        <v>1433</v>
      </c>
      <c r="C125">
        <v>4</v>
      </c>
    </row>
    <row r="126" spans="1:3">
      <c r="A126" s="2071">
        <v>553010</v>
      </c>
      <c r="B126" t="s">
        <v>1433</v>
      </c>
      <c r="C126">
        <v>4</v>
      </c>
    </row>
    <row r="127" spans="1:3">
      <c r="A127" s="2071">
        <v>557007</v>
      </c>
      <c r="B127" t="s">
        <v>1433</v>
      </c>
      <c r="C127">
        <v>4</v>
      </c>
    </row>
    <row r="128" spans="1:3">
      <c r="A128" s="2071">
        <v>559007</v>
      </c>
      <c r="B128" t="s">
        <v>1433</v>
      </c>
      <c r="C128">
        <v>4</v>
      </c>
    </row>
    <row r="129" spans="1:3">
      <c r="A129" s="2071">
        <v>573012</v>
      </c>
      <c r="B129" t="s">
        <v>1433</v>
      </c>
      <c r="C129">
        <v>4</v>
      </c>
    </row>
    <row r="130" spans="1:3">
      <c r="A130" s="2071">
        <v>575013</v>
      </c>
      <c r="B130" t="s">
        <v>1433</v>
      </c>
      <c r="C130">
        <v>4</v>
      </c>
    </row>
    <row r="131" spans="1:3">
      <c r="A131" s="2071">
        <v>607022</v>
      </c>
      <c r="B131" t="s">
        <v>1433</v>
      </c>
      <c r="C131">
        <v>4</v>
      </c>
    </row>
    <row r="132" spans="1:3">
      <c r="A132" s="2071">
        <v>611011</v>
      </c>
      <c r="B132" t="s">
        <v>1433</v>
      </c>
      <c r="C132">
        <v>4</v>
      </c>
    </row>
    <row r="133" spans="1:3">
      <c r="A133" s="2071">
        <v>611013</v>
      </c>
      <c r="B133" t="s">
        <v>1433</v>
      </c>
      <c r="C133">
        <v>4</v>
      </c>
    </row>
    <row r="134" spans="1:3">
      <c r="A134" s="2071">
        <v>621024</v>
      </c>
      <c r="B134" t="s">
        <v>1433</v>
      </c>
      <c r="C134">
        <v>4</v>
      </c>
    </row>
    <row r="135" spans="1:3">
      <c r="A135" s="2071">
        <v>627008</v>
      </c>
      <c r="B135" t="s">
        <v>1433</v>
      </c>
      <c r="C135">
        <v>4</v>
      </c>
    </row>
    <row r="136" spans="1:3">
      <c r="A136" s="2071">
        <v>631023</v>
      </c>
      <c r="B136" t="s">
        <v>1433</v>
      </c>
      <c r="C136">
        <v>4</v>
      </c>
    </row>
    <row r="137" spans="1:3">
      <c r="A137" s="2071">
        <v>631024</v>
      </c>
      <c r="B137" t="s">
        <v>1433</v>
      </c>
      <c r="C137">
        <v>4</v>
      </c>
    </row>
    <row r="138" spans="1:3">
      <c r="A138" s="2071">
        <v>280208</v>
      </c>
      <c r="B138" t="s">
        <v>1433</v>
      </c>
      <c r="C138">
        <v>4</v>
      </c>
    </row>
    <row r="139" spans="1:3">
      <c r="A139" s="2071">
        <v>280218</v>
      </c>
      <c r="B139" t="s">
        <v>1433</v>
      </c>
      <c r="C139">
        <v>4</v>
      </c>
    </row>
    <row r="140" spans="1:3">
      <c r="A140" s="2071">
        <v>280382</v>
      </c>
      <c r="B140" t="s">
        <v>1433</v>
      </c>
      <c r="C140">
        <v>4</v>
      </c>
    </row>
    <row r="141" spans="1:3">
      <c r="A141" s="2071">
        <v>280385</v>
      </c>
      <c r="B141" t="s">
        <v>1433</v>
      </c>
      <c r="C141">
        <v>4</v>
      </c>
    </row>
    <row r="142" spans="1:3">
      <c r="A142" s="2071">
        <v>280386</v>
      </c>
      <c r="B142" t="s">
        <v>1433</v>
      </c>
      <c r="C142">
        <v>4</v>
      </c>
    </row>
    <row r="143" spans="1:3">
      <c r="A143" s="2071">
        <v>280387</v>
      </c>
      <c r="B143" t="s">
        <v>1433</v>
      </c>
      <c r="C143">
        <v>4</v>
      </c>
    </row>
    <row r="144" spans="1:3">
      <c r="A144" s="2071">
        <v>280405</v>
      </c>
      <c r="B144" t="s">
        <v>1433</v>
      </c>
      <c r="C144">
        <v>5</v>
      </c>
    </row>
    <row r="145" spans="1:3">
      <c r="A145" s="2071">
        <v>280534</v>
      </c>
      <c r="B145" t="s">
        <v>1433</v>
      </c>
      <c r="C145">
        <v>5</v>
      </c>
    </row>
    <row r="146" spans="1:3">
      <c r="A146" s="2071">
        <v>280549</v>
      </c>
      <c r="B146" t="s">
        <v>1433</v>
      </c>
      <c r="C146">
        <v>5</v>
      </c>
    </row>
    <row r="147" spans="1:3">
      <c r="A147" s="2071">
        <v>601008</v>
      </c>
      <c r="B147" t="s">
        <v>1433</v>
      </c>
      <c r="C147">
        <v>5</v>
      </c>
    </row>
    <row r="148" spans="1:3">
      <c r="A148" s="2071">
        <v>601009</v>
      </c>
      <c r="B148" t="s">
        <v>1433</v>
      </c>
      <c r="C148">
        <v>5</v>
      </c>
    </row>
    <row r="149" spans="1:3">
      <c r="A149" s="2071">
        <v>609005</v>
      </c>
      <c r="B149" t="s">
        <v>1433</v>
      </c>
      <c r="C149">
        <v>5</v>
      </c>
    </row>
    <row r="150" spans="1:3">
      <c r="A150" s="2071">
        <v>619017</v>
      </c>
      <c r="B150" t="s">
        <v>1433</v>
      </c>
      <c r="C150">
        <v>5</v>
      </c>
    </row>
    <row r="151" spans="1:3">
      <c r="A151" s="2071">
        <v>625005</v>
      </c>
      <c r="B151" t="s">
        <v>1433</v>
      </c>
      <c r="C151">
        <v>5</v>
      </c>
    </row>
    <row r="152" spans="1:3">
      <c r="A152" s="2071">
        <v>625006</v>
      </c>
      <c r="B152" t="s">
        <v>1433</v>
      </c>
      <c r="C152">
        <v>5</v>
      </c>
    </row>
    <row r="153" spans="1:3">
      <c r="A153" s="2071">
        <v>625007</v>
      </c>
      <c r="B153" t="s">
        <v>1433</v>
      </c>
      <c r="C153">
        <v>5</v>
      </c>
    </row>
    <row r="154" spans="1:3">
      <c r="A154" s="2071">
        <v>653006</v>
      </c>
      <c r="B154" t="s">
        <v>1433</v>
      </c>
      <c r="C154">
        <v>5</v>
      </c>
    </row>
    <row r="155" spans="1:3">
      <c r="A155" s="2071">
        <v>655012</v>
      </c>
      <c r="B155" t="s">
        <v>1433</v>
      </c>
      <c r="C155">
        <v>5</v>
      </c>
    </row>
    <row r="156" spans="1:3">
      <c r="A156" s="2071">
        <v>655013</v>
      </c>
      <c r="B156" t="s">
        <v>1433</v>
      </c>
      <c r="C156">
        <v>5</v>
      </c>
    </row>
    <row r="157" spans="1:3">
      <c r="A157" s="2071">
        <v>657025</v>
      </c>
      <c r="B157" t="s">
        <v>1433</v>
      </c>
      <c r="C157">
        <v>5</v>
      </c>
    </row>
    <row r="158" spans="1:3">
      <c r="A158" s="2071">
        <v>657036</v>
      </c>
      <c r="B158" t="s">
        <v>1433</v>
      </c>
      <c r="C158">
        <v>5</v>
      </c>
    </row>
    <row r="159" spans="1:3">
      <c r="A159" s="2071">
        <v>657042</v>
      </c>
      <c r="B159" t="s">
        <v>1433</v>
      </c>
      <c r="C159">
        <v>5</v>
      </c>
    </row>
    <row r="160" spans="1:3">
      <c r="A160" s="2071">
        <v>661018</v>
      </c>
      <c r="B160" t="s">
        <v>1433</v>
      </c>
      <c r="C160">
        <v>5</v>
      </c>
    </row>
    <row r="161" spans="1:3">
      <c r="A161" s="2071">
        <v>661020</v>
      </c>
      <c r="B161" t="s">
        <v>1433</v>
      </c>
      <c r="C161">
        <v>5</v>
      </c>
    </row>
    <row r="162" spans="1:3">
      <c r="A162" s="2071">
        <v>665014</v>
      </c>
      <c r="B162" t="s">
        <v>1433</v>
      </c>
      <c r="C162">
        <v>5</v>
      </c>
    </row>
    <row r="163" spans="1:3">
      <c r="A163" s="2071">
        <v>665016</v>
      </c>
      <c r="B163" t="s">
        <v>1433</v>
      </c>
      <c r="C163">
        <v>5</v>
      </c>
    </row>
    <row r="164" spans="1:3">
      <c r="A164" s="2071">
        <v>665024</v>
      </c>
      <c r="B164" t="s">
        <v>1433</v>
      </c>
      <c r="C164">
        <v>5</v>
      </c>
    </row>
    <row r="165" spans="1:3">
      <c r="A165" s="2071">
        <v>667018</v>
      </c>
      <c r="B165" t="s">
        <v>1433</v>
      </c>
      <c r="C165">
        <v>5</v>
      </c>
    </row>
    <row r="166" spans="1:3">
      <c r="A166" s="2071">
        <v>667019</v>
      </c>
      <c r="B166" t="s">
        <v>1433</v>
      </c>
      <c r="C166">
        <v>5</v>
      </c>
    </row>
    <row r="167" spans="1:3">
      <c r="A167" s="2071">
        <v>667021</v>
      </c>
      <c r="B167" t="s">
        <v>1433</v>
      </c>
      <c r="C167">
        <v>5</v>
      </c>
    </row>
    <row r="168" spans="1:3">
      <c r="A168" s="2071">
        <v>671011</v>
      </c>
      <c r="B168" t="s">
        <v>1433</v>
      </c>
      <c r="C168">
        <v>5</v>
      </c>
    </row>
    <row r="169" spans="1:3">
      <c r="A169" s="2071">
        <v>671013</v>
      </c>
      <c r="B169" t="s">
        <v>1433</v>
      </c>
      <c r="C169">
        <v>5</v>
      </c>
    </row>
    <row r="170" spans="1:3">
      <c r="A170" s="2071">
        <v>675006</v>
      </c>
      <c r="B170" t="s">
        <v>1433</v>
      </c>
      <c r="C170">
        <v>5</v>
      </c>
    </row>
    <row r="171" spans="1:3">
      <c r="A171" s="2071">
        <v>683009</v>
      </c>
      <c r="B171" t="s">
        <v>1433</v>
      </c>
      <c r="C171">
        <v>5</v>
      </c>
    </row>
    <row r="172" spans="1:3">
      <c r="A172" s="2071">
        <v>703007</v>
      </c>
      <c r="B172" t="s">
        <v>1433</v>
      </c>
      <c r="C172">
        <v>5</v>
      </c>
    </row>
    <row r="173" spans="1:3">
      <c r="A173" s="2071">
        <v>710003</v>
      </c>
      <c r="B173" t="s">
        <v>1433</v>
      </c>
      <c r="C173">
        <v>5</v>
      </c>
    </row>
    <row r="174" spans="1:3">
      <c r="A174" s="2071">
        <v>711005</v>
      </c>
      <c r="B174" t="s">
        <v>1433</v>
      </c>
      <c r="C174">
        <v>5</v>
      </c>
    </row>
    <row r="175" spans="1:3">
      <c r="A175" s="2071">
        <v>713005</v>
      </c>
      <c r="B175" t="s">
        <v>1433</v>
      </c>
      <c r="C175">
        <v>5</v>
      </c>
    </row>
    <row r="176" spans="1:3">
      <c r="A176" s="2071">
        <v>725010</v>
      </c>
      <c r="B176" t="s">
        <v>1433</v>
      </c>
      <c r="C176">
        <v>5</v>
      </c>
    </row>
    <row r="177" spans="1:3">
      <c r="A177" s="2071">
        <v>727013</v>
      </c>
      <c r="B177" t="s">
        <v>1433</v>
      </c>
      <c r="C177">
        <v>5</v>
      </c>
    </row>
    <row r="178" spans="1:3">
      <c r="A178" s="2071">
        <v>729006</v>
      </c>
      <c r="B178" t="s">
        <v>1433</v>
      </c>
      <c r="C178">
        <v>5</v>
      </c>
    </row>
    <row r="179" spans="1:3">
      <c r="A179" s="2071">
        <v>741005</v>
      </c>
      <c r="B179" t="s">
        <v>1433</v>
      </c>
      <c r="C179">
        <v>5</v>
      </c>
    </row>
    <row r="180" spans="1:3">
      <c r="A180" s="2071">
        <v>743026</v>
      </c>
      <c r="B180" t="s">
        <v>1433</v>
      </c>
      <c r="C180">
        <v>5</v>
      </c>
    </row>
    <row r="181" spans="1:3">
      <c r="A181" s="2071">
        <v>743031</v>
      </c>
      <c r="B181" t="s">
        <v>1433</v>
      </c>
      <c r="C181">
        <v>5</v>
      </c>
    </row>
    <row r="182" spans="1:3">
      <c r="A182" s="2071">
        <v>745008</v>
      </c>
      <c r="B182" t="s">
        <v>1433</v>
      </c>
      <c r="C182">
        <v>5</v>
      </c>
    </row>
    <row r="183" spans="1:3">
      <c r="A183" s="2071">
        <v>751062</v>
      </c>
      <c r="B183" t="s">
        <v>1433</v>
      </c>
      <c r="C183">
        <v>5</v>
      </c>
    </row>
    <row r="184" spans="1:3">
      <c r="A184" s="2071">
        <v>751092</v>
      </c>
      <c r="B184" t="s">
        <v>1433</v>
      </c>
      <c r="C184">
        <v>5</v>
      </c>
    </row>
    <row r="185" spans="1:3">
      <c r="A185" s="2071">
        <v>751094</v>
      </c>
      <c r="B185" t="s">
        <v>1433</v>
      </c>
      <c r="C185">
        <v>5</v>
      </c>
    </row>
    <row r="186" spans="1:3">
      <c r="A186" s="2071">
        <v>751098</v>
      </c>
      <c r="B186" t="s">
        <v>1433</v>
      </c>
      <c r="C186">
        <v>5</v>
      </c>
    </row>
    <row r="187" spans="1:3">
      <c r="A187" s="2071">
        <v>751111</v>
      </c>
      <c r="B187" t="s">
        <v>1433</v>
      </c>
      <c r="C187">
        <v>5</v>
      </c>
    </row>
    <row r="188" spans="1:3">
      <c r="A188" s="2071">
        <v>760003</v>
      </c>
      <c r="B188" t="s">
        <v>1433</v>
      </c>
      <c r="C188">
        <v>5</v>
      </c>
    </row>
    <row r="189" spans="1:3">
      <c r="A189" s="2071">
        <v>760004</v>
      </c>
      <c r="B189" t="s">
        <v>1433</v>
      </c>
      <c r="C189">
        <v>5</v>
      </c>
    </row>
    <row r="190" spans="1:3">
      <c r="A190" s="2071">
        <v>760005</v>
      </c>
      <c r="B190" t="s">
        <v>1433</v>
      </c>
      <c r="C190">
        <v>5</v>
      </c>
    </row>
    <row r="191" spans="1:3">
      <c r="A191" s="2071">
        <v>761011</v>
      </c>
      <c r="B191" t="s">
        <v>1433</v>
      </c>
      <c r="C191">
        <v>5</v>
      </c>
    </row>
    <row r="192" spans="1:3">
      <c r="A192" s="2071">
        <v>761015</v>
      </c>
      <c r="B192" t="s">
        <v>1433</v>
      </c>
      <c r="C192">
        <v>5</v>
      </c>
    </row>
    <row r="193" spans="1:3">
      <c r="A193" s="2071">
        <v>761016</v>
      </c>
      <c r="B193" t="s">
        <v>1433</v>
      </c>
      <c r="C193">
        <v>5</v>
      </c>
    </row>
    <row r="194" spans="1:3">
      <c r="A194" s="2071">
        <v>779015</v>
      </c>
      <c r="B194" t="s">
        <v>1433</v>
      </c>
      <c r="C194">
        <v>5</v>
      </c>
    </row>
    <row r="195" spans="1:3">
      <c r="A195" s="2071">
        <v>781008</v>
      </c>
      <c r="B195" t="s">
        <v>1433</v>
      </c>
      <c r="C195">
        <v>5</v>
      </c>
    </row>
    <row r="196" spans="1:3">
      <c r="A196" s="2071">
        <v>783005</v>
      </c>
      <c r="B196" t="s">
        <v>1433</v>
      </c>
      <c r="C196">
        <v>5</v>
      </c>
    </row>
    <row r="197" spans="1:3">
      <c r="A197" s="2071">
        <v>789009</v>
      </c>
      <c r="B197" t="s">
        <v>1433</v>
      </c>
      <c r="C197">
        <v>5</v>
      </c>
    </row>
    <row r="198" spans="1:3">
      <c r="A198" s="2071">
        <v>791027</v>
      </c>
      <c r="B198" t="s">
        <v>1433</v>
      </c>
      <c r="C198">
        <v>5</v>
      </c>
    </row>
    <row r="199" spans="1:3">
      <c r="A199" s="2071">
        <v>791028</v>
      </c>
      <c r="B199" t="s">
        <v>1433</v>
      </c>
      <c r="C199">
        <v>5</v>
      </c>
    </row>
    <row r="200" spans="1:3">
      <c r="A200" s="2071">
        <v>280040</v>
      </c>
      <c r="B200" t="s">
        <v>1433</v>
      </c>
      <c r="C200">
        <v>5</v>
      </c>
    </row>
    <row r="201" spans="1:3">
      <c r="A201" s="2071">
        <v>280053</v>
      </c>
      <c r="B201" t="s">
        <v>1433</v>
      </c>
      <c r="C201">
        <v>5</v>
      </c>
    </row>
    <row r="202" spans="1:3">
      <c r="A202" s="2071">
        <v>280214</v>
      </c>
      <c r="B202" t="s">
        <v>1433</v>
      </c>
      <c r="C202">
        <v>5</v>
      </c>
    </row>
    <row r="203" spans="1:3">
      <c r="A203" s="2071">
        <v>280224</v>
      </c>
      <c r="B203" t="s">
        <v>1433</v>
      </c>
      <c r="C203">
        <v>5</v>
      </c>
    </row>
    <row r="204" spans="1:3">
      <c r="A204" s="2071">
        <v>280388</v>
      </c>
      <c r="B204" t="s">
        <v>1433</v>
      </c>
      <c r="C204">
        <v>5</v>
      </c>
    </row>
    <row r="205" spans="1:3">
      <c r="A205" s="2071">
        <v>280389</v>
      </c>
      <c r="B205" t="s">
        <v>1433</v>
      </c>
      <c r="C205">
        <v>5</v>
      </c>
    </row>
    <row r="206" spans="1:3">
      <c r="A206" s="2071">
        <v>280390</v>
      </c>
      <c r="B206" t="s">
        <v>1433</v>
      </c>
      <c r="C206">
        <v>5</v>
      </c>
    </row>
    <row r="207" spans="1:3">
      <c r="A207" s="2071">
        <v>280398</v>
      </c>
      <c r="B207" t="s">
        <v>1433</v>
      </c>
      <c r="C207">
        <v>5</v>
      </c>
    </row>
    <row r="208" spans="1:3">
      <c r="A208" s="2071">
        <v>280460</v>
      </c>
      <c r="B208" t="s">
        <v>1433</v>
      </c>
      <c r="C208" s="285">
        <v>6</v>
      </c>
    </row>
    <row r="209" spans="1:3">
      <c r="A209" s="2071">
        <v>719004</v>
      </c>
      <c r="B209" t="s">
        <v>1433</v>
      </c>
      <c r="C209">
        <v>6</v>
      </c>
    </row>
    <row r="210" spans="1:3">
      <c r="A210" s="2071">
        <v>765005</v>
      </c>
      <c r="B210" t="s">
        <v>1433</v>
      </c>
      <c r="C210">
        <v>6</v>
      </c>
    </row>
    <row r="211" spans="1:3">
      <c r="A211" s="2071">
        <v>773021</v>
      </c>
      <c r="B211" t="s">
        <v>1433</v>
      </c>
      <c r="C211">
        <v>6</v>
      </c>
    </row>
    <row r="212" spans="1:3">
      <c r="A212" s="2071">
        <v>773023</v>
      </c>
      <c r="B212" t="s">
        <v>1433</v>
      </c>
      <c r="C212">
        <v>6</v>
      </c>
    </row>
    <row r="213" spans="1:3">
      <c r="A213" s="2071">
        <v>773028</v>
      </c>
      <c r="B213" t="s">
        <v>1433</v>
      </c>
      <c r="C213">
        <v>6</v>
      </c>
    </row>
    <row r="214" spans="1:3">
      <c r="A214" s="2071">
        <v>773029</v>
      </c>
      <c r="B214" t="s">
        <v>1433</v>
      </c>
      <c r="C214">
        <v>6</v>
      </c>
    </row>
    <row r="215" spans="1:3">
      <c r="A215" s="2071">
        <v>773031</v>
      </c>
      <c r="B215" t="s">
        <v>1433</v>
      </c>
      <c r="C215">
        <v>6</v>
      </c>
    </row>
    <row r="216" spans="1:3">
      <c r="A216" s="2071">
        <v>773032</v>
      </c>
      <c r="B216" t="s">
        <v>1433</v>
      </c>
      <c r="C216">
        <v>6</v>
      </c>
    </row>
    <row r="217" spans="1:3">
      <c r="A217" s="2071">
        <v>785013</v>
      </c>
      <c r="B217" t="s">
        <v>1433</v>
      </c>
      <c r="C217">
        <v>6</v>
      </c>
    </row>
    <row r="218" spans="1:3">
      <c r="A218" s="2071">
        <v>785016</v>
      </c>
      <c r="B218" t="s">
        <v>1433</v>
      </c>
      <c r="C218">
        <v>6</v>
      </c>
    </row>
    <row r="219" spans="1:3">
      <c r="A219" s="2071">
        <v>787021</v>
      </c>
      <c r="B219" t="s">
        <v>1433</v>
      </c>
      <c r="C219">
        <v>6</v>
      </c>
    </row>
    <row r="220" spans="1:3">
      <c r="A220" s="2071">
        <v>787022</v>
      </c>
      <c r="B220" t="s">
        <v>1433</v>
      </c>
      <c r="C220">
        <v>6</v>
      </c>
    </row>
    <row r="221" spans="1:3">
      <c r="A221" s="2071">
        <v>787030</v>
      </c>
      <c r="B221" t="s">
        <v>1433</v>
      </c>
      <c r="C221">
        <v>6</v>
      </c>
    </row>
    <row r="222" spans="1:3">
      <c r="A222" s="2071">
        <v>787033</v>
      </c>
      <c r="B222" t="s">
        <v>1433</v>
      </c>
      <c r="C222">
        <v>6</v>
      </c>
    </row>
    <row r="223" spans="1:3">
      <c r="A223" s="2071">
        <v>793009</v>
      </c>
      <c r="B223" t="s">
        <v>1433</v>
      </c>
      <c r="C223">
        <v>6</v>
      </c>
    </row>
    <row r="224" spans="1:3">
      <c r="A224" s="2071">
        <v>811007</v>
      </c>
      <c r="B224" t="s">
        <v>1433</v>
      </c>
      <c r="C224">
        <v>6</v>
      </c>
    </row>
    <row r="225" spans="1:3">
      <c r="A225" s="2071">
        <v>821016</v>
      </c>
      <c r="B225" t="s">
        <v>1433</v>
      </c>
      <c r="C225">
        <v>6</v>
      </c>
    </row>
    <row r="226" spans="1:3">
      <c r="A226" s="2071">
        <v>823009</v>
      </c>
      <c r="B226" t="s">
        <v>1433</v>
      </c>
      <c r="C226">
        <v>6</v>
      </c>
    </row>
    <row r="227" spans="1:3">
      <c r="A227" s="2071">
        <v>827006</v>
      </c>
      <c r="B227" t="s">
        <v>1433</v>
      </c>
      <c r="C227">
        <v>6</v>
      </c>
    </row>
    <row r="228" spans="1:3">
      <c r="A228" s="2071">
        <v>831006</v>
      </c>
      <c r="B228" t="s">
        <v>1433</v>
      </c>
      <c r="C228">
        <v>6</v>
      </c>
    </row>
    <row r="229" spans="1:3">
      <c r="A229" s="2071">
        <v>831007</v>
      </c>
      <c r="B229" t="s">
        <v>1433</v>
      </c>
      <c r="C229">
        <v>6</v>
      </c>
    </row>
    <row r="230" spans="1:3">
      <c r="A230" s="2071">
        <v>837007</v>
      </c>
      <c r="B230" t="s">
        <v>1433</v>
      </c>
      <c r="C230">
        <v>6</v>
      </c>
    </row>
    <row r="231" spans="1:3">
      <c r="A231" s="2071">
        <v>845008</v>
      </c>
      <c r="B231" t="s">
        <v>1433</v>
      </c>
      <c r="C231">
        <v>6</v>
      </c>
    </row>
    <row r="232" spans="1:3">
      <c r="A232" s="2071">
        <v>845013</v>
      </c>
      <c r="B232" t="s">
        <v>1433</v>
      </c>
      <c r="C232">
        <v>6</v>
      </c>
    </row>
    <row r="233" spans="1:3">
      <c r="A233" s="2071">
        <v>846002</v>
      </c>
      <c r="B233" t="s">
        <v>1433</v>
      </c>
      <c r="C233">
        <v>6</v>
      </c>
    </row>
    <row r="234" spans="1:3">
      <c r="A234" s="2071">
        <v>847011</v>
      </c>
      <c r="B234" t="s">
        <v>1433</v>
      </c>
      <c r="C234">
        <v>6</v>
      </c>
    </row>
    <row r="235" spans="1:3">
      <c r="A235" s="2071">
        <v>847012</v>
      </c>
      <c r="B235" t="s">
        <v>1433</v>
      </c>
      <c r="C235">
        <v>6</v>
      </c>
    </row>
    <row r="236" spans="1:3">
      <c r="A236" s="2071">
        <v>849006</v>
      </c>
      <c r="B236" t="s">
        <v>1433</v>
      </c>
      <c r="C236">
        <v>6</v>
      </c>
    </row>
    <row r="237" spans="1:3">
      <c r="A237" s="2071">
        <v>849008</v>
      </c>
      <c r="B237" t="s">
        <v>1433</v>
      </c>
      <c r="C237">
        <v>6</v>
      </c>
    </row>
    <row r="238" spans="1:3">
      <c r="A238" s="2071">
        <v>851071</v>
      </c>
      <c r="B238" t="s">
        <v>1433</v>
      </c>
      <c r="C238">
        <v>6</v>
      </c>
    </row>
    <row r="239" spans="1:3">
      <c r="A239" s="2071">
        <v>851076</v>
      </c>
      <c r="B239" t="s">
        <v>1433</v>
      </c>
      <c r="C239">
        <v>6</v>
      </c>
    </row>
    <row r="240" spans="1:3">
      <c r="A240" s="2071">
        <v>851087</v>
      </c>
      <c r="B240" t="s">
        <v>1433</v>
      </c>
      <c r="C240">
        <v>6</v>
      </c>
    </row>
    <row r="241" spans="1:3">
      <c r="A241" s="2071">
        <v>861012</v>
      </c>
      <c r="B241" t="s">
        <v>1433</v>
      </c>
      <c r="C241">
        <v>6</v>
      </c>
    </row>
    <row r="242" spans="1:3">
      <c r="A242" s="2071">
        <v>280204</v>
      </c>
      <c r="B242" t="s">
        <v>1433</v>
      </c>
      <c r="C242">
        <v>6</v>
      </c>
    </row>
    <row r="243" spans="1:3">
      <c r="A243" s="2071">
        <v>280207</v>
      </c>
      <c r="B243" t="s">
        <v>1433</v>
      </c>
      <c r="C243">
        <v>6</v>
      </c>
    </row>
    <row r="244" spans="1:3">
      <c r="A244" s="2071">
        <v>280212</v>
      </c>
      <c r="B244" t="s">
        <v>1433</v>
      </c>
      <c r="C244">
        <v>6</v>
      </c>
    </row>
    <row r="245" spans="1:3">
      <c r="A245" s="2071">
        <v>280215</v>
      </c>
      <c r="B245" t="s">
        <v>1433</v>
      </c>
      <c r="C245">
        <v>6</v>
      </c>
    </row>
    <row r="246" spans="1:3">
      <c r="A246" s="2071">
        <v>280220</v>
      </c>
      <c r="B246" t="s">
        <v>1433</v>
      </c>
      <c r="C246">
        <v>6</v>
      </c>
    </row>
    <row r="247" spans="1:3">
      <c r="A247" s="2071">
        <v>280221</v>
      </c>
      <c r="B247" t="s">
        <v>1433</v>
      </c>
      <c r="C247">
        <v>6</v>
      </c>
    </row>
    <row r="248" spans="1:3">
      <c r="A248" s="2071">
        <v>280227</v>
      </c>
      <c r="B248" t="s">
        <v>1433</v>
      </c>
      <c r="C248">
        <v>6</v>
      </c>
    </row>
    <row r="249" spans="1:3">
      <c r="A249" s="2071">
        <v>280394</v>
      </c>
      <c r="B249" t="s">
        <v>1433</v>
      </c>
      <c r="C249">
        <v>6</v>
      </c>
    </row>
    <row r="250" spans="1:3">
      <c r="A250" s="2071">
        <v>101078</v>
      </c>
      <c r="B250" t="s">
        <v>1434</v>
      </c>
      <c r="C250">
        <v>11</v>
      </c>
    </row>
    <row r="251" spans="1:3">
      <c r="A251" s="2071">
        <v>101079</v>
      </c>
      <c r="B251" t="s">
        <v>1434</v>
      </c>
      <c r="C251">
        <v>11</v>
      </c>
    </row>
    <row r="252" spans="1:3">
      <c r="A252" s="2071">
        <v>101080</v>
      </c>
      <c r="B252" t="s">
        <v>1434</v>
      </c>
      <c r="C252">
        <v>11</v>
      </c>
    </row>
    <row r="253" spans="1:3">
      <c r="A253" s="2071">
        <v>101081</v>
      </c>
      <c r="B253" t="s">
        <v>1434</v>
      </c>
      <c r="C253">
        <v>11</v>
      </c>
    </row>
    <row r="254" spans="1:3">
      <c r="A254" s="2071">
        <v>101082</v>
      </c>
      <c r="B254" t="s">
        <v>1434</v>
      </c>
      <c r="C254">
        <v>11</v>
      </c>
    </row>
    <row r="255" spans="1:3">
      <c r="A255" s="2071">
        <v>101083</v>
      </c>
      <c r="B255" t="s">
        <v>1434</v>
      </c>
      <c r="C255">
        <v>11</v>
      </c>
    </row>
    <row r="256" spans="1:3">
      <c r="A256" s="2071">
        <v>101084</v>
      </c>
      <c r="B256" t="s">
        <v>1434</v>
      </c>
      <c r="C256">
        <v>11</v>
      </c>
    </row>
    <row r="257" spans="1:3">
      <c r="A257" s="2071">
        <v>101127</v>
      </c>
      <c r="B257" t="s">
        <v>1434</v>
      </c>
      <c r="C257">
        <v>11</v>
      </c>
    </row>
    <row r="258" spans="1:3">
      <c r="A258" s="2071">
        <v>101188</v>
      </c>
      <c r="B258" t="s">
        <v>1434</v>
      </c>
      <c r="C258">
        <v>11</v>
      </c>
    </row>
    <row r="259" spans="1:3">
      <c r="A259" s="2071">
        <v>147017</v>
      </c>
      <c r="B259" t="s">
        <v>1434</v>
      </c>
      <c r="C259">
        <v>11</v>
      </c>
    </row>
    <row r="260" spans="1:3">
      <c r="A260" s="2071">
        <v>147018</v>
      </c>
      <c r="B260" t="s">
        <v>1434</v>
      </c>
      <c r="C260">
        <v>11</v>
      </c>
    </row>
    <row r="261" spans="1:3">
      <c r="A261" s="2071">
        <v>157013</v>
      </c>
      <c r="B261" t="s">
        <v>1434</v>
      </c>
      <c r="C261">
        <v>11</v>
      </c>
    </row>
    <row r="262" spans="1:3">
      <c r="A262" s="2071">
        <v>157018</v>
      </c>
      <c r="B262" t="s">
        <v>1434</v>
      </c>
      <c r="C262">
        <v>11</v>
      </c>
    </row>
    <row r="263" spans="1:3">
      <c r="A263" s="2071">
        <v>157019</v>
      </c>
      <c r="B263" t="s">
        <v>1434</v>
      </c>
      <c r="C263">
        <v>11</v>
      </c>
    </row>
    <row r="264" spans="1:3">
      <c r="A264" s="2071">
        <v>157040</v>
      </c>
      <c r="B264" t="s">
        <v>1434</v>
      </c>
      <c r="C264">
        <v>11</v>
      </c>
    </row>
    <row r="265" spans="1:3">
      <c r="A265" s="2071">
        <v>159016</v>
      </c>
      <c r="B265" t="s">
        <v>1434</v>
      </c>
      <c r="C265">
        <v>11</v>
      </c>
    </row>
    <row r="266" spans="1:3">
      <c r="A266" s="2071">
        <v>159017</v>
      </c>
      <c r="B266" t="s">
        <v>1434</v>
      </c>
      <c r="C266">
        <v>11</v>
      </c>
    </row>
    <row r="267" spans="1:3">
      <c r="A267" s="2071">
        <v>163009</v>
      </c>
      <c r="B267" t="s">
        <v>1434</v>
      </c>
      <c r="C267">
        <v>11</v>
      </c>
    </row>
    <row r="268" spans="1:3">
      <c r="A268" s="2071">
        <v>169012</v>
      </c>
      <c r="B268" t="s">
        <v>1434</v>
      </c>
      <c r="C268">
        <v>11</v>
      </c>
    </row>
    <row r="269" spans="1:3">
      <c r="A269" s="2071">
        <v>169016</v>
      </c>
      <c r="B269" t="s">
        <v>1434</v>
      </c>
      <c r="C269">
        <v>11</v>
      </c>
    </row>
    <row r="270" spans="1:3">
      <c r="A270" s="2071">
        <v>169018</v>
      </c>
      <c r="B270" t="s">
        <v>1434</v>
      </c>
      <c r="C270">
        <v>11</v>
      </c>
    </row>
    <row r="271" spans="1:3">
      <c r="A271" s="2071">
        <v>173012</v>
      </c>
      <c r="B271" t="s">
        <v>1434</v>
      </c>
      <c r="C271">
        <v>11</v>
      </c>
    </row>
    <row r="272" spans="1:3">
      <c r="A272" s="2071">
        <v>173013</v>
      </c>
      <c r="B272" t="s">
        <v>1434</v>
      </c>
      <c r="C272">
        <v>11</v>
      </c>
    </row>
    <row r="273" spans="1:3">
      <c r="A273" s="2071">
        <v>173014</v>
      </c>
      <c r="B273" t="s">
        <v>1434</v>
      </c>
      <c r="C273">
        <v>11</v>
      </c>
    </row>
    <row r="274" spans="1:3">
      <c r="A274" s="2071">
        <v>173020</v>
      </c>
      <c r="B274" t="s">
        <v>1434</v>
      </c>
      <c r="C274">
        <v>11</v>
      </c>
    </row>
    <row r="275" spans="1:3">
      <c r="A275" s="2071">
        <v>175017</v>
      </c>
      <c r="B275" t="s">
        <v>1434</v>
      </c>
      <c r="C275">
        <v>11</v>
      </c>
    </row>
    <row r="276" spans="1:3">
      <c r="A276" s="2071">
        <v>183008</v>
      </c>
      <c r="B276" t="s">
        <v>1434</v>
      </c>
      <c r="C276">
        <v>11</v>
      </c>
    </row>
    <row r="277" spans="1:3">
      <c r="A277" s="2071">
        <v>185013</v>
      </c>
      <c r="B277" t="s">
        <v>1434</v>
      </c>
      <c r="C277">
        <v>11</v>
      </c>
    </row>
    <row r="278" spans="1:3">
      <c r="A278" s="2071">
        <v>190001</v>
      </c>
      <c r="B278" t="s">
        <v>1434</v>
      </c>
      <c r="C278">
        <v>11</v>
      </c>
    </row>
    <row r="279" spans="1:3">
      <c r="A279" s="2071">
        <v>205006</v>
      </c>
      <c r="B279" t="s">
        <v>1434</v>
      </c>
      <c r="C279">
        <v>11</v>
      </c>
    </row>
    <row r="280" spans="1:3">
      <c r="A280" s="2071">
        <v>209005</v>
      </c>
      <c r="B280" t="s">
        <v>1434</v>
      </c>
      <c r="C280">
        <v>11</v>
      </c>
    </row>
    <row r="281" spans="1:3">
      <c r="A281" s="2071">
        <v>213007</v>
      </c>
      <c r="B281" t="s">
        <v>1434</v>
      </c>
      <c r="C281">
        <v>11</v>
      </c>
    </row>
    <row r="282" spans="1:3">
      <c r="A282" s="2071">
        <v>215007</v>
      </c>
      <c r="B282" t="s">
        <v>1434</v>
      </c>
      <c r="C282">
        <v>11</v>
      </c>
    </row>
    <row r="283" spans="1:3">
      <c r="A283" s="2071">
        <v>219010</v>
      </c>
      <c r="B283" t="s">
        <v>1434</v>
      </c>
      <c r="C283">
        <v>11</v>
      </c>
    </row>
    <row r="284" spans="1:3">
      <c r="A284" s="2071">
        <v>223006</v>
      </c>
      <c r="B284" t="s">
        <v>1434</v>
      </c>
      <c r="C284">
        <v>11</v>
      </c>
    </row>
    <row r="285" spans="1:3">
      <c r="A285" s="2071">
        <v>231005</v>
      </c>
      <c r="B285" t="s">
        <v>1434</v>
      </c>
      <c r="C285">
        <v>11</v>
      </c>
    </row>
    <row r="286" spans="1:3">
      <c r="A286" s="2071">
        <v>235006</v>
      </c>
      <c r="B286" t="s">
        <v>1434</v>
      </c>
      <c r="C286">
        <v>11</v>
      </c>
    </row>
    <row r="287" spans="1:3">
      <c r="A287" s="2071">
        <v>253013</v>
      </c>
      <c r="B287" t="s">
        <v>1434</v>
      </c>
      <c r="C287">
        <v>11</v>
      </c>
    </row>
    <row r="288" spans="1:3">
      <c r="A288" s="2071">
        <v>265017</v>
      </c>
      <c r="B288" t="s">
        <v>1434</v>
      </c>
      <c r="C288">
        <v>11</v>
      </c>
    </row>
    <row r="289" spans="1:3">
      <c r="A289" s="2071">
        <v>265019</v>
      </c>
      <c r="B289" t="s">
        <v>1434</v>
      </c>
      <c r="C289">
        <v>11</v>
      </c>
    </row>
    <row r="290" spans="1:3">
      <c r="A290" s="2071">
        <v>280447</v>
      </c>
      <c r="B290" t="s">
        <v>1434</v>
      </c>
      <c r="C290">
        <v>11</v>
      </c>
    </row>
    <row r="291" spans="1:3">
      <c r="A291" s="2071">
        <v>280462</v>
      </c>
      <c r="B291" t="s">
        <v>1434</v>
      </c>
      <c r="C291">
        <v>11</v>
      </c>
    </row>
    <row r="292" spans="1:3">
      <c r="A292" s="2071">
        <v>280467</v>
      </c>
      <c r="B292" t="s">
        <v>1434</v>
      </c>
      <c r="C292">
        <v>11</v>
      </c>
    </row>
    <row r="293" spans="1:3">
      <c r="A293" s="2071">
        <v>280468</v>
      </c>
      <c r="B293" t="s">
        <v>1434</v>
      </c>
      <c r="C293">
        <v>11</v>
      </c>
    </row>
    <row r="294" spans="1:3">
      <c r="A294" s="2071">
        <v>280471</v>
      </c>
      <c r="B294" t="s">
        <v>1434</v>
      </c>
      <c r="C294">
        <v>11</v>
      </c>
    </row>
    <row r="295" spans="1:3">
      <c r="A295" s="2071">
        <v>280477</v>
      </c>
      <c r="B295" t="s">
        <v>1434</v>
      </c>
      <c r="C295">
        <v>11</v>
      </c>
    </row>
    <row r="296" spans="1:3">
      <c r="A296" s="2071">
        <v>280537</v>
      </c>
      <c r="B296" t="s">
        <v>1434</v>
      </c>
      <c r="C296">
        <v>11</v>
      </c>
    </row>
    <row r="297" spans="1:3">
      <c r="A297" s="2071">
        <v>280538</v>
      </c>
      <c r="B297" t="s">
        <v>1434</v>
      </c>
      <c r="C297">
        <v>11</v>
      </c>
    </row>
    <row r="298" spans="1:3">
      <c r="A298" s="2071">
        <v>280540</v>
      </c>
      <c r="B298" t="s">
        <v>1434</v>
      </c>
      <c r="C298">
        <v>11</v>
      </c>
    </row>
    <row r="299" spans="1:3">
      <c r="A299" s="2071">
        <v>280545</v>
      </c>
      <c r="B299" t="s">
        <v>1434</v>
      </c>
      <c r="C299">
        <v>11</v>
      </c>
    </row>
    <row r="300" spans="1:3">
      <c r="A300" s="2071">
        <v>280551</v>
      </c>
      <c r="B300" t="s">
        <v>1434</v>
      </c>
      <c r="C300">
        <v>11</v>
      </c>
    </row>
    <row r="301" spans="1:3">
      <c r="A301" s="2071">
        <v>280552</v>
      </c>
      <c r="B301" t="s">
        <v>1434</v>
      </c>
      <c r="C301">
        <v>11</v>
      </c>
    </row>
    <row r="302" spans="1:3">
      <c r="A302" s="2071">
        <v>307004</v>
      </c>
      <c r="B302" t="s">
        <v>1434</v>
      </c>
      <c r="C302">
        <v>11</v>
      </c>
    </row>
    <row r="303" spans="1:3">
      <c r="A303" s="2071">
        <v>315011</v>
      </c>
      <c r="B303" t="s">
        <v>1434</v>
      </c>
      <c r="C303">
        <v>11</v>
      </c>
    </row>
    <row r="304" spans="1:3">
      <c r="A304" s="2071">
        <v>319007</v>
      </c>
      <c r="B304" t="s">
        <v>1434</v>
      </c>
      <c r="C304">
        <v>11</v>
      </c>
    </row>
    <row r="305" spans="1:3">
      <c r="A305" s="2071">
        <v>329017</v>
      </c>
      <c r="B305" t="s">
        <v>1434</v>
      </c>
      <c r="C305">
        <v>11</v>
      </c>
    </row>
    <row r="306" spans="1:3">
      <c r="A306" s="2071">
        <v>333014</v>
      </c>
      <c r="B306" t="s">
        <v>1434</v>
      </c>
      <c r="C306">
        <v>11</v>
      </c>
    </row>
    <row r="307" spans="1:3">
      <c r="A307" s="2071">
        <v>335006</v>
      </c>
      <c r="B307" t="s">
        <v>1434</v>
      </c>
      <c r="C307">
        <v>11</v>
      </c>
    </row>
    <row r="308" spans="1:3">
      <c r="A308" s="2071">
        <v>363009</v>
      </c>
      <c r="B308" t="s">
        <v>1434</v>
      </c>
      <c r="C308">
        <v>11</v>
      </c>
    </row>
    <row r="309" spans="1:3">
      <c r="A309" s="2071">
        <v>367006</v>
      </c>
      <c r="B309" t="s">
        <v>1434</v>
      </c>
      <c r="C309">
        <v>11</v>
      </c>
    </row>
    <row r="310" spans="1:3">
      <c r="A310" s="2071">
        <v>367007</v>
      </c>
      <c r="B310" t="s">
        <v>1434</v>
      </c>
      <c r="C310">
        <v>11</v>
      </c>
    </row>
    <row r="311" spans="1:3">
      <c r="A311" s="2071">
        <v>369010</v>
      </c>
      <c r="B311" t="s">
        <v>1434</v>
      </c>
      <c r="C311">
        <v>11</v>
      </c>
    </row>
    <row r="312" spans="1:3">
      <c r="A312" s="2071">
        <v>369011</v>
      </c>
      <c r="B312" t="s">
        <v>1434</v>
      </c>
      <c r="C312">
        <v>11</v>
      </c>
    </row>
    <row r="313" spans="1:3">
      <c r="A313" s="2071">
        <v>373018</v>
      </c>
      <c r="B313" t="s">
        <v>1434</v>
      </c>
      <c r="C313">
        <v>11</v>
      </c>
    </row>
    <row r="314" spans="1:3">
      <c r="A314" s="2071">
        <v>379008</v>
      </c>
      <c r="B314" t="s">
        <v>1434</v>
      </c>
      <c r="C314">
        <v>11</v>
      </c>
    </row>
    <row r="315" spans="1:3">
      <c r="A315" s="2071">
        <v>400021</v>
      </c>
      <c r="B315" t="s">
        <v>1434</v>
      </c>
      <c r="C315">
        <v>11</v>
      </c>
    </row>
    <row r="316" spans="1:3">
      <c r="A316" s="2071">
        <v>400037</v>
      </c>
      <c r="B316" t="s">
        <v>1434</v>
      </c>
      <c r="C316">
        <v>11</v>
      </c>
    </row>
    <row r="317" spans="1:3">
      <c r="A317" s="2071">
        <v>421007</v>
      </c>
      <c r="B317" t="s">
        <v>1434</v>
      </c>
      <c r="C317">
        <v>11</v>
      </c>
    </row>
    <row r="318" spans="1:3">
      <c r="A318" s="2071">
        <v>429006</v>
      </c>
      <c r="B318" t="s">
        <v>1434</v>
      </c>
      <c r="C318">
        <v>11</v>
      </c>
    </row>
    <row r="319" spans="1:3">
      <c r="A319" s="2071">
        <v>449008</v>
      </c>
      <c r="B319" t="s">
        <v>1434</v>
      </c>
      <c r="C319">
        <v>11</v>
      </c>
    </row>
    <row r="320" spans="1:3">
      <c r="A320" s="2071">
        <v>449009</v>
      </c>
      <c r="B320" t="s">
        <v>1434</v>
      </c>
      <c r="C320">
        <v>11</v>
      </c>
    </row>
    <row r="321" spans="1:3">
      <c r="A321" s="2071">
        <v>451003</v>
      </c>
      <c r="B321" t="s">
        <v>1434</v>
      </c>
      <c r="C321">
        <v>11</v>
      </c>
    </row>
    <row r="322" spans="1:3">
      <c r="A322" s="2071">
        <v>461040</v>
      </c>
      <c r="B322" t="s">
        <v>1434</v>
      </c>
      <c r="C322">
        <v>11</v>
      </c>
    </row>
    <row r="323" spans="1:3">
      <c r="A323" s="2071">
        <v>461042</v>
      </c>
      <c r="B323" t="s">
        <v>1434</v>
      </c>
      <c r="C323">
        <v>11</v>
      </c>
    </row>
    <row r="324" spans="1:3">
      <c r="A324" s="2071">
        <v>461043</v>
      </c>
      <c r="B324" t="s">
        <v>1434</v>
      </c>
      <c r="C324">
        <v>11</v>
      </c>
    </row>
    <row r="325" spans="1:3">
      <c r="A325" s="2071">
        <v>461045</v>
      </c>
      <c r="B325" t="s">
        <v>1434</v>
      </c>
      <c r="C325">
        <v>11</v>
      </c>
    </row>
    <row r="326" spans="1:3">
      <c r="A326" s="2071">
        <v>471011</v>
      </c>
      <c r="B326" t="s">
        <v>1434</v>
      </c>
      <c r="C326">
        <v>11</v>
      </c>
    </row>
    <row r="327" spans="1:3">
      <c r="A327" s="2071">
        <v>479013</v>
      </c>
      <c r="B327" t="s">
        <v>1434</v>
      </c>
      <c r="C327">
        <v>11</v>
      </c>
    </row>
    <row r="328" spans="1:3">
      <c r="A328" s="2071">
        <v>479014</v>
      </c>
      <c r="B328" t="s">
        <v>1434</v>
      </c>
      <c r="C328">
        <v>11</v>
      </c>
    </row>
    <row r="329" spans="1:3">
      <c r="A329" s="2071">
        <v>515014</v>
      </c>
      <c r="B329" t="s">
        <v>1434</v>
      </c>
      <c r="C329">
        <v>11</v>
      </c>
    </row>
    <row r="330" spans="1:3">
      <c r="A330" s="2071">
        <v>525011</v>
      </c>
      <c r="B330" t="s">
        <v>1434</v>
      </c>
      <c r="C330">
        <v>11</v>
      </c>
    </row>
    <row r="331" spans="1:3">
      <c r="A331" s="2071">
        <v>531007</v>
      </c>
      <c r="B331" t="s">
        <v>1434</v>
      </c>
      <c r="C331">
        <v>11</v>
      </c>
    </row>
    <row r="332" spans="1:3">
      <c r="A332" s="2071">
        <v>537015</v>
      </c>
      <c r="B332" t="s">
        <v>1434</v>
      </c>
      <c r="C332">
        <v>11</v>
      </c>
    </row>
    <row r="333" spans="1:3">
      <c r="A333" s="2071">
        <v>561026</v>
      </c>
      <c r="B333" t="s">
        <v>1434</v>
      </c>
      <c r="C333">
        <v>11</v>
      </c>
    </row>
    <row r="334" spans="1:3">
      <c r="A334" s="2071">
        <v>561030</v>
      </c>
      <c r="B334" t="s">
        <v>1434</v>
      </c>
      <c r="C334">
        <v>11</v>
      </c>
    </row>
    <row r="335" spans="1:3">
      <c r="A335" s="2071">
        <v>565010</v>
      </c>
      <c r="B335" t="s">
        <v>1434</v>
      </c>
      <c r="C335">
        <v>11</v>
      </c>
    </row>
    <row r="336" spans="1:3">
      <c r="A336" s="2071">
        <v>571022</v>
      </c>
      <c r="B336" t="s">
        <v>1434</v>
      </c>
      <c r="C336">
        <v>11</v>
      </c>
    </row>
    <row r="337" spans="1:3">
      <c r="A337" s="2071">
        <v>607015</v>
      </c>
      <c r="B337" t="s">
        <v>1434</v>
      </c>
      <c r="C337">
        <v>11</v>
      </c>
    </row>
    <row r="338" spans="1:3">
      <c r="A338" s="2071">
        <v>607018</v>
      </c>
      <c r="B338" t="s">
        <v>1434</v>
      </c>
      <c r="C338">
        <v>11</v>
      </c>
    </row>
    <row r="339" spans="1:3">
      <c r="A339" s="2071">
        <v>615016</v>
      </c>
      <c r="B339" t="s">
        <v>1434</v>
      </c>
      <c r="C339">
        <v>11</v>
      </c>
    </row>
    <row r="340" spans="1:3">
      <c r="A340" s="2071">
        <v>615017</v>
      </c>
      <c r="B340" t="s">
        <v>1434</v>
      </c>
      <c r="C340">
        <v>11</v>
      </c>
    </row>
    <row r="341" spans="1:3">
      <c r="A341" s="2071">
        <v>621019</v>
      </c>
      <c r="B341" t="s">
        <v>1434</v>
      </c>
      <c r="C341">
        <v>11</v>
      </c>
    </row>
    <row r="342" spans="1:3">
      <c r="A342" s="2071">
        <v>621020</v>
      </c>
      <c r="B342" t="s">
        <v>1434</v>
      </c>
      <c r="C342">
        <v>11</v>
      </c>
    </row>
    <row r="343" spans="1:3">
      <c r="A343" s="2071">
        <v>631018</v>
      </c>
      <c r="B343" t="s">
        <v>1434</v>
      </c>
      <c r="C343">
        <v>11</v>
      </c>
    </row>
    <row r="344" spans="1:3">
      <c r="A344" s="2071">
        <v>631019</v>
      </c>
      <c r="B344" t="s">
        <v>1434</v>
      </c>
      <c r="C344">
        <v>11</v>
      </c>
    </row>
    <row r="345" spans="1:3">
      <c r="A345" s="2071">
        <v>657037</v>
      </c>
      <c r="B345" t="s">
        <v>1434</v>
      </c>
      <c r="C345">
        <v>11</v>
      </c>
    </row>
    <row r="346" spans="1:3">
      <c r="A346" s="2071">
        <v>683007</v>
      </c>
      <c r="B346" t="s">
        <v>1434</v>
      </c>
      <c r="C346">
        <v>11</v>
      </c>
    </row>
    <row r="347" spans="1:3">
      <c r="A347" s="2071">
        <v>727011</v>
      </c>
      <c r="B347" t="s">
        <v>1434</v>
      </c>
      <c r="C347">
        <v>11</v>
      </c>
    </row>
    <row r="348" spans="1:3">
      <c r="A348" s="2071">
        <v>731015</v>
      </c>
      <c r="B348" t="s">
        <v>1434</v>
      </c>
      <c r="C348">
        <v>11</v>
      </c>
    </row>
    <row r="349" spans="1:3">
      <c r="A349" s="2071">
        <v>731016</v>
      </c>
      <c r="B349" t="s">
        <v>1434</v>
      </c>
      <c r="C349">
        <v>11</v>
      </c>
    </row>
    <row r="350" spans="1:3">
      <c r="A350" s="2071">
        <v>731017</v>
      </c>
      <c r="B350" t="s">
        <v>1434</v>
      </c>
      <c r="C350">
        <v>11</v>
      </c>
    </row>
    <row r="351" spans="1:3">
      <c r="A351" s="2071">
        <v>739006</v>
      </c>
      <c r="B351" t="s">
        <v>1434</v>
      </c>
      <c r="C351">
        <v>11</v>
      </c>
    </row>
    <row r="352" spans="1:3">
      <c r="A352" s="2071">
        <v>743015</v>
      </c>
      <c r="B352" t="s">
        <v>1434</v>
      </c>
      <c r="C352">
        <v>11</v>
      </c>
    </row>
    <row r="353" spans="1:3">
      <c r="A353" s="2071">
        <v>743017</v>
      </c>
      <c r="B353" t="s">
        <v>1434</v>
      </c>
      <c r="C353">
        <v>11</v>
      </c>
    </row>
    <row r="354" spans="1:3">
      <c r="A354" s="2071">
        <v>745006</v>
      </c>
      <c r="B354" t="s">
        <v>1434</v>
      </c>
      <c r="C354">
        <v>11</v>
      </c>
    </row>
    <row r="355" spans="1:3">
      <c r="A355" s="2071">
        <v>751058</v>
      </c>
      <c r="B355" t="s">
        <v>1434</v>
      </c>
      <c r="C355">
        <v>11</v>
      </c>
    </row>
    <row r="356" spans="1:3">
      <c r="A356" s="2071">
        <v>751059</v>
      </c>
      <c r="B356" t="s">
        <v>1434</v>
      </c>
      <c r="C356">
        <v>11</v>
      </c>
    </row>
    <row r="357" spans="1:3">
      <c r="A357" s="2071">
        <v>751060</v>
      </c>
      <c r="B357" t="s">
        <v>1434</v>
      </c>
      <c r="C357">
        <v>11</v>
      </c>
    </row>
    <row r="358" spans="1:3">
      <c r="A358" s="2071">
        <v>751061</v>
      </c>
      <c r="B358" t="s">
        <v>1434</v>
      </c>
      <c r="C358">
        <v>11</v>
      </c>
    </row>
    <row r="359" spans="1:3">
      <c r="A359" s="2071">
        <v>751063</v>
      </c>
      <c r="B359" t="s">
        <v>1434</v>
      </c>
      <c r="C359">
        <v>11</v>
      </c>
    </row>
    <row r="360" spans="1:3">
      <c r="A360" s="2071">
        <v>751081</v>
      </c>
      <c r="B360" t="s">
        <v>1434</v>
      </c>
      <c r="C360">
        <v>11</v>
      </c>
    </row>
    <row r="361" spans="1:3">
      <c r="A361" s="2071">
        <v>751095</v>
      </c>
      <c r="B361" t="s">
        <v>1434</v>
      </c>
      <c r="C361">
        <v>11</v>
      </c>
    </row>
    <row r="362" spans="1:3">
      <c r="A362" s="2071">
        <v>751114</v>
      </c>
      <c r="B362" t="s">
        <v>1434</v>
      </c>
      <c r="C362">
        <v>11</v>
      </c>
    </row>
    <row r="363" spans="1:3">
      <c r="A363" s="2071">
        <v>756002</v>
      </c>
      <c r="B363" t="s">
        <v>1434</v>
      </c>
      <c r="C363">
        <v>11</v>
      </c>
    </row>
    <row r="364" spans="1:3">
      <c r="A364" s="2071">
        <v>791014</v>
      </c>
      <c r="B364" t="s">
        <v>1434</v>
      </c>
      <c r="C364">
        <v>11</v>
      </c>
    </row>
    <row r="365" spans="1:3">
      <c r="A365" s="2071">
        <v>791029</v>
      </c>
      <c r="B365" t="s">
        <v>1434</v>
      </c>
      <c r="C365">
        <v>11</v>
      </c>
    </row>
    <row r="366" spans="1:3">
      <c r="A366" s="2071">
        <v>793008</v>
      </c>
      <c r="B366" t="s">
        <v>1434</v>
      </c>
      <c r="C366">
        <v>11</v>
      </c>
    </row>
    <row r="367" spans="1:3">
      <c r="A367" s="2071">
        <v>801007</v>
      </c>
      <c r="B367" t="s">
        <v>1434</v>
      </c>
      <c r="C367">
        <v>11</v>
      </c>
    </row>
    <row r="368" spans="1:3">
      <c r="A368" s="2071">
        <v>805016</v>
      </c>
      <c r="B368" t="s">
        <v>1434</v>
      </c>
      <c r="C368">
        <v>11</v>
      </c>
    </row>
    <row r="369" spans="1:3">
      <c r="A369" s="2071">
        <v>813010</v>
      </c>
      <c r="B369" t="s">
        <v>1434</v>
      </c>
      <c r="C369">
        <v>11</v>
      </c>
    </row>
    <row r="370" spans="1:3">
      <c r="A370" s="2071">
        <v>821011</v>
      </c>
      <c r="B370" t="s">
        <v>1434</v>
      </c>
      <c r="C370">
        <v>11</v>
      </c>
    </row>
    <row r="371" spans="1:3">
      <c r="A371" s="2071">
        <v>851051</v>
      </c>
      <c r="B371" t="s">
        <v>1434</v>
      </c>
      <c r="C371">
        <v>11</v>
      </c>
    </row>
    <row r="372" spans="1:3">
      <c r="A372" s="2071">
        <v>851052</v>
      </c>
      <c r="B372" t="s">
        <v>1434</v>
      </c>
      <c r="C372">
        <v>11</v>
      </c>
    </row>
    <row r="373" spans="1:3">
      <c r="A373" s="2071">
        <v>851053</v>
      </c>
      <c r="B373" t="s">
        <v>1434</v>
      </c>
      <c r="C373">
        <v>11</v>
      </c>
    </row>
    <row r="374" spans="1:3">
      <c r="A374" s="2071">
        <v>851055</v>
      </c>
      <c r="B374" t="s">
        <v>1434</v>
      </c>
      <c r="C374">
        <v>11</v>
      </c>
    </row>
    <row r="375" spans="1:3">
      <c r="A375" s="2071">
        <v>267008</v>
      </c>
      <c r="B375" t="s">
        <v>1434</v>
      </c>
      <c r="C375">
        <v>11</v>
      </c>
    </row>
    <row r="376" spans="1:3">
      <c r="A376" s="2071">
        <v>269009</v>
      </c>
      <c r="B376" t="s">
        <v>1434</v>
      </c>
      <c r="C376">
        <v>11</v>
      </c>
    </row>
    <row r="377" spans="1:3">
      <c r="A377" s="2071">
        <v>280033</v>
      </c>
      <c r="B377" t="s">
        <v>1434</v>
      </c>
      <c r="C377">
        <v>11</v>
      </c>
    </row>
    <row r="378" spans="1:3">
      <c r="A378" s="2071">
        <v>280202</v>
      </c>
      <c r="B378" t="s">
        <v>1434</v>
      </c>
      <c r="C378">
        <v>11</v>
      </c>
    </row>
    <row r="379" spans="1:3">
      <c r="A379" s="2071">
        <v>280205</v>
      </c>
      <c r="B379" t="s">
        <v>1434</v>
      </c>
      <c r="C379">
        <v>11</v>
      </c>
    </row>
    <row r="380" spans="1:3">
      <c r="A380" s="2071">
        <v>280206</v>
      </c>
      <c r="B380" t="s">
        <v>1434</v>
      </c>
      <c r="C380">
        <v>11</v>
      </c>
    </row>
    <row r="381" spans="1:3">
      <c r="A381" s="2071">
        <v>280210</v>
      </c>
      <c r="B381" t="s">
        <v>1434</v>
      </c>
      <c r="C381">
        <v>11</v>
      </c>
    </row>
    <row r="382" spans="1:3">
      <c r="A382" s="2071">
        <v>280383</v>
      </c>
      <c r="B382" t="s">
        <v>1434</v>
      </c>
      <c r="C382">
        <v>11</v>
      </c>
    </row>
    <row r="383" spans="1:3">
      <c r="A383" s="2071">
        <v>280397</v>
      </c>
      <c r="B383" t="s">
        <v>1434</v>
      </c>
      <c r="C383">
        <v>11</v>
      </c>
    </row>
    <row r="384" spans="1:3">
      <c r="A384" s="2071">
        <v>101091</v>
      </c>
      <c r="B384" t="s">
        <v>1435</v>
      </c>
      <c r="C384">
        <v>12</v>
      </c>
    </row>
    <row r="385" spans="1:3">
      <c r="A385" s="2071">
        <v>101178</v>
      </c>
      <c r="B385" t="s">
        <v>1435</v>
      </c>
      <c r="C385">
        <v>12</v>
      </c>
    </row>
    <row r="386" spans="1:3">
      <c r="A386" s="2071">
        <v>147033</v>
      </c>
      <c r="B386" t="s">
        <v>1435</v>
      </c>
      <c r="C386">
        <v>12</v>
      </c>
    </row>
    <row r="387" spans="1:3">
      <c r="A387" s="2071">
        <v>151021</v>
      </c>
      <c r="B387" t="s">
        <v>1435</v>
      </c>
      <c r="C387">
        <v>12</v>
      </c>
    </row>
    <row r="388" spans="1:3">
      <c r="A388" s="2071">
        <v>167013</v>
      </c>
      <c r="B388" t="s">
        <v>1435</v>
      </c>
      <c r="C388">
        <v>12</v>
      </c>
    </row>
    <row r="389" spans="1:3">
      <c r="A389" s="2071">
        <v>187005</v>
      </c>
      <c r="B389" t="s">
        <v>1435</v>
      </c>
      <c r="C389">
        <v>12</v>
      </c>
    </row>
    <row r="390" spans="1:3">
      <c r="A390" s="2071">
        <v>213008</v>
      </c>
      <c r="B390" t="s">
        <v>1435</v>
      </c>
      <c r="C390">
        <v>12</v>
      </c>
    </row>
    <row r="391" spans="1:3">
      <c r="A391" s="2071">
        <v>219011</v>
      </c>
      <c r="B391" t="s">
        <v>1435</v>
      </c>
      <c r="C391">
        <v>12</v>
      </c>
    </row>
    <row r="392" spans="1:3">
      <c r="A392" s="2071">
        <v>259021</v>
      </c>
      <c r="B392" t="s">
        <v>1435</v>
      </c>
      <c r="C392">
        <v>12</v>
      </c>
    </row>
    <row r="393" spans="1:3">
      <c r="A393" s="2071">
        <v>315013</v>
      </c>
      <c r="B393" t="s">
        <v>1435</v>
      </c>
      <c r="C393">
        <v>12</v>
      </c>
    </row>
    <row r="394" spans="1:3">
      <c r="A394" s="2071">
        <v>400024</v>
      </c>
      <c r="B394" t="s">
        <v>1435</v>
      </c>
      <c r="C394">
        <v>12</v>
      </c>
    </row>
    <row r="395" spans="1:3">
      <c r="A395" s="2071">
        <v>400034</v>
      </c>
      <c r="B395" t="s">
        <v>1435</v>
      </c>
      <c r="C395">
        <v>12</v>
      </c>
    </row>
    <row r="396" spans="1:3">
      <c r="A396" s="2071">
        <v>461053</v>
      </c>
      <c r="B396" t="s">
        <v>1435</v>
      </c>
      <c r="C396">
        <v>12</v>
      </c>
    </row>
    <row r="397" spans="1:3">
      <c r="A397" s="2071">
        <v>515018</v>
      </c>
      <c r="B397" t="s">
        <v>1435</v>
      </c>
      <c r="C397">
        <v>12</v>
      </c>
    </row>
    <row r="398" spans="1:3">
      <c r="A398" s="2071">
        <v>525007</v>
      </c>
      <c r="B398" t="s">
        <v>1435</v>
      </c>
      <c r="C398">
        <v>12</v>
      </c>
    </row>
    <row r="399" spans="1:3">
      <c r="A399" s="2071">
        <v>527009</v>
      </c>
      <c r="B399" t="s">
        <v>1435</v>
      </c>
      <c r="C399">
        <v>12</v>
      </c>
    </row>
    <row r="400" spans="1:3">
      <c r="A400" s="2071">
        <v>539014</v>
      </c>
      <c r="B400" t="s">
        <v>1435</v>
      </c>
      <c r="C400">
        <v>12</v>
      </c>
    </row>
    <row r="401" spans="1:3">
      <c r="A401" s="2071">
        <v>561036</v>
      </c>
      <c r="B401" t="s">
        <v>1435</v>
      </c>
      <c r="C401">
        <v>12</v>
      </c>
    </row>
    <row r="402" spans="1:3">
      <c r="A402" s="2071">
        <v>613008</v>
      </c>
      <c r="B402" t="s">
        <v>1435</v>
      </c>
      <c r="C402">
        <v>12</v>
      </c>
    </row>
    <row r="403" spans="1:3">
      <c r="A403" s="2071">
        <v>621025</v>
      </c>
      <c r="B403" t="s">
        <v>1435</v>
      </c>
      <c r="C403">
        <v>12</v>
      </c>
    </row>
    <row r="404" spans="1:3">
      <c r="A404" s="2071">
        <v>631029</v>
      </c>
      <c r="B404" t="s">
        <v>1435</v>
      </c>
      <c r="C404">
        <v>12</v>
      </c>
    </row>
    <row r="405" spans="1:3">
      <c r="A405" s="2071">
        <v>651005</v>
      </c>
      <c r="B405" t="s">
        <v>1435</v>
      </c>
      <c r="C405">
        <v>12</v>
      </c>
    </row>
    <row r="406" spans="1:3">
      <c r="A406" s="2071">
        <v>657027</v>
      </c>
      <c r="B406" t="s">
        <v>1435</v>
      </c>
      <c r="C406">
        <v>12</v>
      </c>
    </row>
    <row r="407" spans="1:3">
      <c r="A407" s="2071">
        <v>661016</v>
      </c>
      <c r="B407" t="s">
        <v>1435</v>
      </c>
      <c r="C407">
        <v>12</v>
      </c>
    </row>
    <row r="408" spans="1:3">
      <c r="A408" s="2071">
        <v>665023</v>
      </c>
      <c r="B408" t="s">
        <v>1435</v>
      </c>
      <c r="C408">
        <v>12</v>
      </c>
    </row>
    <row r="409" spans="1:3">
      <c r="A409" s="2071">
        <v>669010</v>
      </c>
      <c r="B409" t="s">
        <v>1435</v>
      </c>
      <c r="C409">
        <v>12</v>
      </c>
    </row>
    <row r="410" spans="1:3">
      <c r="A410" s="2071">
        <v>681009</v>
      </c>
      <c r="B410" t="s">
        <v>1435</v>
      </c>
      <c r="C410">
        <v>12</v>
      </c>
    </row>
    <row r="411" spans="1:3">
      <c r="A411" s="2071">
        <v>705006</v>
      </c>
      <c r="B411" t="s">
        <v>1435</v>
      </c>
      <c r="C411">
        <v>12</v>
      </c>
    </row>
    <row r="412" spans="1:3">
      <c r="A412" s="2071">
        <v>731027</v>
      </c>
      <c r="B412" t="s">
        <v>1435</v>
      </c>
      <c r="C412">
        <v>12</v>
      </c>
    </row>
    <row r="413" spans="1:3">
      <c r="A413" s="2071">
        <v>751080</v>
      </c>
      <c r="B413" t="s">
        <v>1435</v>
      </c>
      <c r="C413">
        <v>12</v>
      </c>
    </row>
    <row r="414" spans="1:3">
      <c r="A414" s="2071">
        <v>761012</v>
      </c>
      <c r="B414" t="s">
        <v>1435</v>
      </c>
      <c r="C414">
        <v>12</v>
      </c>
    </row>
    <row r="415" spans="1:3">
      <c r="A415" s="2071">
        <v>787035</v>
      </c>
      <c r="B415" t="s">
        <v>1435</v>
      </c>
      <c r="C415">
        <v>12</v>
      </c>
    </row>
    <row r="416" spans="1:3">
      <c r="A416" s="2071">
        <v>851068</v>
      </c>
      <c r="B416" t="s">
        <v>1435</v>
      </c>
      <c r="C416">
        <v>12</v>
      </c>
    </row>
    <row r="417" spans="1:3">
      <c r="A417" s="2071">
        <v>280392</v>
      </c>
      <c r="B417" t="s">
        <v>1435</v>
      </c>
      <c r="C417">
        <v>12</v>
      </c>
    </row>
    <row r="418" spans="1:3">
      <c r="A418" s="2071">
        <v>503006</v>
      </c>
      <c r="B418" t="s">
        <v>1436</v>
      </c>
      <c r="C418">
        <v>14</v>
      </c>
    </row>
    <row r="419" spans="1:3">
      <c r="A419" s="2071">
        <v>513005</v>
      </c>
      <c r="B419" t="s">
        <v>1436</v>
      </c>
      <c r="C419">
        <v>14</v>
      </c>
    </row>
    <row r="420" spans="1:3">
      <c r="A420" s="2071">
        <v>515015</v>
      </c>
      <c r="B420" t="s">
        <v>1436</v>
      </c>
      <c r="C420">
        <v>14</v>
      </c>
    </row>
    <row r="421" spans="1:3">
      <c r="A421" s="2071">
        <v>519006</v>
      </c>
      <c r="B421" t="s">
        <v>1436</v>
      </c>
      <c r="C421">
        <v>14</v>
      </c>
    </row>
    <row r="422" spans="1:3">
      <c r="A422" s="2071">
        <v>521006</v>
      </c>
      <c r="B422" t="s">
        <v>1436</v>
      </c>
      <c r="C422">
        <v>14</v>
      </c>
    </row>
    <row r="423" spans="1:3">
      <c r="A423" s="2071">
        <v>521008</v>
      </c>
      <c r="B423" t="s">
        <v>1436</v>
      </c>
      <c r="C423">
        <v>14</v>
      </c>
    </row>
    <row r="424" spans="1:3">
      <c r="A424" s="2071">
        <v>523010</v>
      </c>
      <c r="B424" t="s">
        <v>1436</v>
      </c>
      <c r="C424">
        <v>14</v>
      </c>
    </row>
    <row r="425" spans="1:3">
      <c r="A425" s="2071">
        <v>529006</v>
      </c>
      <c r="B425" t="s">
        <v>1436</v>
      </c>
      <c r="C425">
        <v>14</v>
      </c>
    </row>
    <row r="426" spans="1:3">
      <c r="A426" s="2071">
        <v>537009</v>
      </c>
      <c r="B426" t="s">
        <v>1436</v>
      </c>
      <c r="C426">
        <v>14</v>
      </c>
    </row>
    <row r="427" spans="1:3">
      <c r="A427" s="2071">
        <v>539009</v>
      </c>
      <c r="B427" t="s">
        <v>1436</v>
      </c>
      <c r="C427">
        <v>14</v>
      </c>
    </row>
    <row r="428" spans="1:3">
      <c r="A428" s="2071">
        <v>539010</v>
      </c>
      <c r="B428" t="s">
        <v>1436</v>
      </c>
      <c r="C428">
        <v>14</v>
      </c>
    </row>
    <row r="429" spans="1:3">
      <c r="A429" s="2071">
        <v>539012</v>
      </c>
      <c r="B429" t="s">
        <v>1436</v>
      </c>
      <c r="C429">
        <v>14</v>
      </c>
    </row>
    <row r="430" spans="1:3">
      <c r="A430" s="2071">
        <v>541006</v>
      </c>
      <c r="B430" t="s">
        <v>1436</v>
      </c>
      <c r="C430">
        <v>14</v>
      </c>
    </row>
    <row r="431" spans="1:3">
      <c r="A431" s="2071">
        <v>545006</v>
      </c>
      <c r="B431" t="s">
        <v>1436</v>
      </c>
      <c r="C431">
        <v>14</v>
      </c>
    </row>
    <row r="432" spans="1:3">
      <c r="A432" s="2071">
        <v>101108</v>
      </c>
      <c r="B432" t="s">
        <v>1437</v>
      </c>
      <c r="C432">
        <v>15</v>
      </c>
    </row>
    <row r="433" spans="1:3">
      <c r="A433" s="2071">
        <v>101125</v>
      </c>
      <c r="B433" t="s">
        <v>1437</v>
      </c>
      <c r="C433">
        <v>15</v>
      </c>
    </row>
    <row r="434" spans="1:3">
      <c r="A434" s="2071">
        <v>101126</v>
      </c>
      <c r="B434" t="s">
        <v>1437</v>
      </c>
      <c r="C434">
        <v>15</v>
      </c>
    </row>
    <row r="435" spans="1:3">
      <c r="A435" s="2071">
        <v>101171</v>
      </c>
      <c r="B435" t="s">
        <v>1437</v>
      </c>
      <c r="C435">
        <v>15</v>
      </c>
    </row>
    <row r="436" spans="1:3">
      <c r="A436" s="2071">
        <v>147026</v>
      </c>
      <c r="B436" t="s">
        <v>1437</v>
      </c>
      <c r="C436">
        <v>15</v>
      </c>
    </row>
    <row r="437" spans="1:3">
      <c r="A437" s="2071">
        <v>147043</v>
      </c>
      <c r="B437" t="s">
        <v>1437</v>
      </c>
      <c r="C437">
        <v>15</v>
      </c>
    </row>
    <row r="438" spans="1:3">
      <c r="A438" s="2071">
        <v>153015</v>
      </c>
      <c r="B438" t="s">
        <v>1437</v>
      </c>
      <c r="C438">
        <v>15</v>
      </c>
    </row>
    <row r="439" spans="1:3">
      <c r="A439" s="2071">
        <v>157022</v>
      </c>
      <c r="B439" t="s">
        <v>1437</v>
      </c>
      <c r="C439">
        <v>15</v>
      </c>
    </row>
    <row r="440" spans="1:3">
      <c r="A440" s="2071">
        <v>157042</v>
      </c>
      <c r="B440" t="s">
        <v>1437</v>
      </c>
      <c r="C440">
        <v>15</v>
      </c>
    </row>
    <row r="441" spans="1:3">
      <c r="A441" s="2071">
        <v>159020</v>
      </c>
      <c r="B441" t="s">
        <v>1437</v>
      </c>
      <c r="C441">
        <v>15</v>
      </c>
    </row>
    <row r="442" spans="1:3">
      <c r="A442" s="2071">
        <v>207004</v>
      </c>
      <c r="B442" t="s">
        <v>1437</v>
      </c>
      <c r="C442">
        <v>15</v>
      </c>
    </row>
    <row r="443" spans="1:3">
      <c r="A443" s="2071">
        <v>227007</v>
      </c>
      <c r="B443" t="s">
        <v>1437</v>
      </c>
      <c r="C443">
        <v>15</v>
      </c>
    </row>
    <row r="444" spans="1:3">
      <c r="A444" s="2071">
        <v>280011</v>
      </c>
      <c r="B444" t="s">
        <v>1437</v>
      </c>
      <c r="C444">
        <v>15</v>
      </c>
    </row>
    <row r="445" spans="1:3">
      <c r="A445" s="2071">
        <v>280100</v>
      </c>
      <c r="B445" t="s">
        <v>1437</v>
      </c>
      <c r="C445">
        <v>15</v>
      </c>
    </row>
    <row r="446" spans="1:3">
      <c r="A446" s="2071">
        <v>280523</v>
      </c>
      <c r="B446" t="s">
        <v>1437</v>
      </c>
      <c r="C446">
        <v>15</v>
      </c>
    </row>
    <row r="447" spans="1:3">
      <c r="A447" s="2071">
        <v>280544</v>
      </c>
      <c r="B447" t="s">
        <v>1437</v>
      </c>
      <c r="C447">
        <v>15</v>
      </c>
    </row>
    <row r="448" spans="1:3">
      <c r="A448" s="2071">
        <v>280554</v>
      </c>
      <c r="B448" t="s">
        <v>1437</v>
      </c>
      <c r="C448">
        <v>15</v>
      </c>
    </row>
    <row r="449" spans="1:3">
      <c r="A449" s="2071">
        <v>373019</v>
      </c>
      <c r="B449" t="s">
        <v>1437</v>
      </c>
      <c r="C449">
        <v>15</v>
      </c>
    </row>
    <row r="450" spans="1:3">
      <c r="A450" s="2071">
        <v>525008</v>
      </c>
      <c r="B450" t="s">
        <v>1437</v>
      </c>
      <c r="C450">
        <v>15</v>
      </c>
    </row>
    <row r="451" spans="1:3">
      <c r="A451" s="2071">
        <v>545007</v>
      </c>
      <c r="B451" t="s">
        <v>1437</v>
      </c>
      <c r="C451">
        <v>15</v>
      </c>
    </row>
    <row r="452" spans="1:3">
      <c r="A452" s="2071">
        <v>667016</v>
      </c>
      <c r="B452" t="s">
        <v>1437</v>
      </c>
      <c r="C452">
        <v>15</v>
      </c>
    </row>
    <row r="453" spans="1:3">
      <c r="A453" s="2071">
        <v>851057</v>
      </c>
      <c r="B453" t="s">
        <v>1437</v>
      </c>
      <c r="C453">
        <v>15</v>
      </c>
    </row>
    <row r="454" spans="1:3">
      <c r="A454" s="2071">
        <v>101087</v>
      </c>
      <c r="B454" t="s">
        <v>124</v>
      </c>
      <c r="C454">
        <v>21</v>
      </c>
    </row>
    <row r="455" spans="1:3">
      <c r="A455" s="2071">
        <v>101090</v>
      </c>
      <c r="B455" t="s">
        <v>124</v>
      </c>
      <c r="C455">
        <v>21</v>
      </c>
    </row>
    <row r="456" spans="1:3">
      <c r="A456" s="2071">
        <v>101092</v>
      </c>
      <c r="B456" t="s">
        <v>124</v>
      </c>
      <c r="C456">
        <v>21</v>
      </c>
    </row>
    <row r="457" spans="1:3">
      <c r="A457" s="2071">
        <v>101111</v>
      </c>
      <c r="B457" t="s">
        <v>124</v>
      </c>
      <c r="C457">
        <v>21</v>
      </c>
    </row>
    <row r="458" spans="1:3">
      <c r="A458" s="2071">
        <v>101132</v>
      </c>
      <c r="B458" t="s">
        <v>124</v>
      </c>
      <c r="C458">
        <v>21</v>
      </c>
    </row>
    <row r="459" spans="1:3">
      <c r="A459" s="2071">
        <v>101133</v>
      </c>
      <c r="B459" t="s">
        <v>124</v>
      </c>
      <c r="C459">
        <v>21</v>
      </c>
    </row>
    <row r="460" spans="1:3">
      <c r="A460" s="2071">
        <v>101140</v>
      </c>
      <c r="B460" t="s">
        <v>124</v>
      </c>
      <c r="C460">
        <v>21</v>
      </c>
    </row>
    <row r="461" spans="1:3">
      <c r="A461" s="2071">
        <v>101145</v>
      </c>
      <c r="B461" t="s">
        <v>124</v>
      </c>
      <c r="C461">
        <v>21</v>
      </c>
    </row>
    <row r="462" spans="1:3">
      <c r="A462" s="2071">
        <v>101191</v>
      </c>
      <c r="B462" t="s">
        <v>124</v>
      </c>
      <c r="C462">
        <v>21</v>
      </c>
    </row>
    <row r="463" spans="1:3">
      <c r="A463" s="2071">
        <v>101585</v>
      </c>
      <c r="B463" t="s">
        <v>124</v>
      </c>
      <c r="C463">
        <v>21</v>
      </c>
    </row>
    <row r="464" spans="1:3">
      <c r="A464" s="2071">
        <v>151014</v>
      </c>
      <c r="B464" t="s">
        <v>124</v>
      </c>
      <c r="C464">
        <v>21</v>
      </c>
    </row>
    <row r="465" spans="1:3">
      <c r="A465" s="2071">
        <v>151018</v>
      </c>
      <c r="B465" t="s">
        <v>124</v>
      </c>
      <c r="C465">
        <v>21</v>
      </c>
    </row>
    <row r="466" spans="1:3">
      <c r="A466" s="2071">
        <v>159015</v>
      </c>
      <c r="B466" t="s">
        <v>124</v>
      </c>
      <c r="C466">
        <v>21</v>
      </c>
    </row>
    <row r="467" spans="1:3">
      <c r="A467" s="2071">
        <v>159018</v>
      </c>
      <c r="B467" t="s">
        <v>124</v>
      </c>
      <c r="C467">
        <v>21</v>
      </c>
    </row>
    <row r="468" spans="1:3">
      <c r="A468" s="2071">
        <v>165011</v>
      </c>
      <c r="B468" t="s">
        <v>124</v>
      </c>
      <c r="C468">
        <v>21</v>
      </c>
    </row>
    <row r="469" spans="1:3">
      <c r="A469" s="2071">
        <v>181017</v>
      </c>
      <c r="B469" t="s">
        <v>124</v>
      </c>
      <c r="C469">
        <v>21</v>
      </c>
    </row>
    <row r="470" spans="1:3">
      <c r="A470" s="2071">
        <v>208005</v>
      </c>
      <c r="B470" t="s">
        <v>124</v>
      </c>
      <c r="C470">
        <v>21</v>
      </c>
    </row>
    <row r="471" spans="1:3">
      <c r="A471" s="2071">
        <v>215008</v>
      </c>
      <c r="B471" t="s">
        <v>124</v>
      </c>
      <c r="C471">
        <v>21</v>
      </c>
    </row>
    <row r="472" spans="1:3">
      <c r="A472" s="2071">
        <v>217016</v>
      </c>
      <c r="B472" t="s">
        <v>124</v>
      </c>
      <c r="C472">
        <v>21</v>
      </c>
    </row>
    <row r="473" spans="1:3">
      <c r="A473" s="2071">
        <v>219009</v>
      </c>
      <c r="B473" t="s">
        <v>124</v>
      </c>
      <c r="C473">
        <v>21</v>
      </c>
    </row>
    <row r="474" spans="1:3">
      <c r="A474" s="2071">
        <v>219016</v>
      </c>
      <c r="B474" t="s">
        <v>124</v>
      </c>
      <c r="C474">
        <v>21</v>
      </c>
    </row>
    <row r="475" spans="1:3">
      <c r="A475" s="2071">
        <v>221004</v>
      </c>
      <c r="B475" t="s">
        <v>124</v>
      </c>
      <c r="C475">
        <v>21</v>
      </c>
    </row>
    <row r="476" spans="1:3">
      <c r="A476" s="2071">
        <v>223007</v>
      </c>
      <c r="B476" t="s">
        <v>124</v>
      </c>
      <c r="C476">
        <v>21</v>
      </c>
    </row>
    <row r="477" spans="1:3">
      <c r="A477" s="2071">
        <v>301008</v>
      </c>
      <c r="B477" t="s">
        <v>124</v>
      </c>
      <c r="C477">
        <v>21</v>
      </c>
    </row>
    <row r="478" spans="1:3">
      <c r="A478" s="2071">
        <v>301010</v>
      </c>
      <c r="B478" t="s">
        <v>124</v>
      </c>
      <c r="C478">
        <v>21</v>
      </c>
    </row>
    <row r="479" spans="1:3">
      <c r="A479" s="2071">
        <v>400006</v>
      </c>
      <c r="B479" t="s">
        <v>124</v>
      </c>
      <c r="C479">
        <v>21</v>
      </c>
    </row>
    <row r="480" spans="1:3">
      <c r="A480" s="2071">
        <v>280140</v>
      </c>
      <c r="B480" t="s">
        <v>124</v>
      </c>
      <c r="C480">
        <v>21</v>
      </c>
    </row>
    <row r="481" spans="1:3">
      <c r="A481" s="2071">
        <v>253009</v>
      </c>
      <c r="B481" t="s">
        <v>124</v>
      </c>
      <c r="C481">
        <v>22</v>
      </c>
    </row>
    <row r="482" spans="1:3">
      <c r="A482" s="2071">
        <v>255005</v>
      </c>
      <c r="B482" t="s">
        <v>124</v>
      </c>
      <c r="C482">
        <v>22</v>
      </c>
    </row>
    <row r="483" spans="1:3">
      <c r="A483" s="2071">
        <v>259013</v>
      </c>
      <c r="B483" t="s">
        <v>124</v>
      </c>
      <c r="C483">
        <v>22</v>
      </c>
    </row>
    <row r="484" spans="1:3">
      <c r="A484" s="2071">
        <v>313007</v>
      </c>
      <c r="B484" t="s">
        <v>124</v>
      </c>
      <c r="C484">
        <v>22</v>
      </c>
    </row>
    <row r="485" spans="1:3">
      <c r="A485" s="2071">
        <v>315017</v>
      </c>
      <c r="B485" t="s">
        <v>124</v>
      </c>
      <c r="C485">
        <v>22</v>
      </c>
    </row>
    <row r="486" spans="1:3">
      <c r="A486" s="2071">
        <v>321005</v>
      </c>
      <c r="B486" t="s">
        <v>124</v>
      </c>
      <c r="C486">
        <v>22</v>
      </c>
    </row>
    <row r="487" spans="1:3">
      <c r="A487" s="2071">
        <v>327002</v>
      </c>
      <c r="B487" t="s">
        <v>124</v>
      </c>
      <c r="C487">
        <v>22</v>
      </c>
    </row>
    <row r="488" spans="1:3">
      <c r="A488" s="2071">
        <v>359006</v>
      </c>
      <c r="B488" t="s">
        <v>124</v>
      </c>
      <c r="C488">
        <v>22</v>
      </c>
    </row>
    <row r="489" spans="1:3">
      <c r="A489" s="2071">
        <v>373030</v>
      </c>
      <c r="B489" t="s">
        <v>124</v>
      </c>
      <c r="C489">
        <v>22</v>
      </c>
    </row>
    <row r="490" spans="1:3">
      <c r="A490" s="2071">
        <v>280379</v>
      </c>
      <c r="B490" t="s">
        <v>124</v>
      </c>
      <c r="C490">
        <v>22</v>
      </c>
    </row>
    <row r="491" spans="1:3">
      <c r="A491" s="2071">
        <v>280395</v>
      </c>
      <c r="B491" t="s">
        <v>124</v>
      </c>
      <c r="C491">
        <v>22</v>
      </c>
    </row>
    <row r="492" spans="1:3">
      <c r="A492" s="2071">
        <v>439008</v>
      </c>
      <c r="B492" t="s">
        <v>124</v>
      </c>
      <c r="C492">
        <v>23</v>
      </c>
    </row>
    <row r="493" spans="1:3">
      <c r="A493" s="2071">
        <v>461068</v>
      </c>
      <c r="B493" t="s">
        <v>124</v>
      </c>
      <c r="C493">
        <v>23</v>
      </c>
    </row>
    <row r="494" spans="1:3">
      <c r="A494" s="2071">
        <v>535006</v>
      </c>
      <c r="B494" t="s">
        <v>124</v>
      </c>
      <c r="C494">
        <v>24</v>
      </c>
    </row>
    <row r="495" spans="1:3">
      <c r="A495" s="2071">
        <v>701006</v>
      </c>
      <c r="B495" t="s">
        <v>124</v>
      </c>
      <c r="C495">
        <v>25</v>
      </c>
    </row>
    <row r="496" spans="1:3">
      <c r="A496" s="2071">
        <v>703005</v>
      </c>
      <c r="B496" t="s">
        <v>124</v>
      </c>
      <c r="C496">
        <v>25</v>
      </c>
    </row>
    <row r="497" spans="1:3">
      <c r="A497" s="2071">
        <v>707009</v>
      </c>
      <c r="B497" t="s">
        <v>124</v>
      </c>
      <c r="C497">
        <v>25</v>
      </c>
    </row>
    <row r="498" spans="1:3">
      <c r="A498" s="2071">
        <v>707012</v>
      </c>
      <c r="B498" t="s">
        <v>124</v>
      </c>
      <c r="C498">
        <v>25</v>
      </c>
    </row>
    <row r="499" spans="1:3">
      <c r="A499" s="2071">
        <v>731019</v>
      </c>
      <c r="B499" t="s">
        <v>124</v>
      </c>
      <c r="C499">
        <v>25</v>
      </c>
    </row>
    <row r="500" spans="1:3">
      <c r="A500" s="2071">
        <v>737006</v>
      </c>
      <c r="B500" t="s">
        <v>124</v>
      </c>
      <c r="C500">
        <v>25</v>
      </c>
    </row>
    <row r="501" spans="1:3">
      <c r="A501" s="2071">
        <v>741007</v>
      </c>
      <c r="B501" t="s">
        <v>124</v>
      </c>
      <c r="C501">
        <v>25</v>
      </c>
    </row>
    <row r="502" spans="1:3">
      <c r="A502" s="2071">
        <v>751064</v>
      </c>
      <c r="B502" t="s">
        <v>124</v>
      </c>
      <c r="C502">
        <v>25</v>
      </c>
    </row>
    <row r="503" spans="1:3">
      <c r="A503" s="2071">
        <v>751089</v>
      </c>
      <c r="B503" t="s">
        <v>124</v>
      </c>
      <c r="C503">
        <v>25</v>
      </c>
    </row>
    <row r="504" spans="1:3">
      <c r="A504" s="2071">
        <v>791015</v>
      </c>
      <c r="B504" t="s">
        <v>124</v>
      </c>
      <c r="C504">
        <v>26</v>
      </c>
    </row>
    <row r="505" spans="1:3">
      <c r="A505" s="2071">
        <v>841005</v>
      </c>
      <c r="B505" t="s">
        <v>124</v>
      </c>
      <c r="C505">
        <v>26</v>
      </c>
    </row>
    <row r="506" spans="1:3">
      <c r="A506" s="2071">
        <v>851070</v>
      </c>
      <c r="B506" t="s">
        <v>124</v>
      </c>
      <c r="C506">
        <v>26</v>
      </c>
    </row>
    <row r="507" spans="1:3">
      <c r="A507" s="2071">
        <v>280211</v>
      </c>
      <c r="B507" t="s">
        <v>124</v>
      </c>
      <c r="C507">
        <v>26</v>
      </c>
    </row>
    <row r="508" spans="1:3">
      <c r="A508" s="2071">
        <v>101181</v>
      </c>
      <c r="B508" t="s">
        <v>1433</v>
      </c>
    </row>
    <row r="509" spans="1:3">
      <c r="A509" s="2071">
        <v>305019</v>
      </c>
      <c r="B509" t="s">
        <v>1433</v>
      </c>
    </row>
    <row r="510" spans="1:3">
      <c r="A510" s="2071">
        <v>473012</v>
      </c>
      <c r="B510" t="s">
        <v>1433</v>
      </c>
    </row>
    <row r="511" spans="1:3">
      <c r="A511" s="2071">
        <v>213010</v>
      </c>
      <c r="B511" t="s">
        <v>1434</v>
      </c>
    </row>
    <row r="512" spans="1:3">
      <c r="A512" s="2071">
        <v>315012</v>
      </c>
      <c r="B512" t="s">
        <v>1434</v>
      </c>
    </row>
    <row r="513" spans="1:2">
      <c r="A513" s="2071">
        <v>473014</v>
      </c>
      <c r="B513" t="s">
        <v>1434</v>
      </c>
    </row>
    <row r="514" spans="1:2">
      <c r="A514" s="2071">
        <v>721005</v>
      </c>
      <c r="B514" t="s">
        <v>1434</v>
      </c>
    </row>
    <row r="515" spans="1:2">
      <c r="A515" s="2071">
        <v>208009</v>
      </c>
      <c r="B515" t="s">
        <v>124</v>
      </c>
    </row>
    <row r="516" spans="1:2">
      <c r="A516" s="2071">
        <v>213005</v>
      </c>
      <c r="B516" t="s">
        <v>124</v>
      </c>
    </row>
  </sheetData>
  <phoneticPr fontId="55" type="noConversion"/>
  <pageMargins left="0.7" right="0.7" top="0.75" bottom="0.75" header="0.3" footer="0.3"/>
  <pageSetup paperSize="9"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baseColWidth="10" defaultColWidth="11.5" defaultRowHeight="13"/>
  <sheetData/>
  <phoneticPr fontId="55" type="noConversion"/>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D6B02-35F1-2741-8572-8FBA4BF3BA17}">
  <sheetPr>
    <tabColor rgb="FFFFFF00"/>
  </sheetPr>
  <dimension ref="A1:G87"/>
  <sheetViews>
    <sheetView workbookViewId="0">
      <selection activeCell="A36" sqref="A36:G36"/>
    </sheetView>
  </sheetViews>
  <sheetFormatPr baseColWidth="10" defaultColWidth="11.5" defaultRowHeight="13"/>
  <sheetData>
    <row r="1" spans="1:7" ht="18">
      <c r="A1" s="2777" t="s">
        <v>19</v>
      </c>
      <c r="B1" s="2777"/>
      <c r="C1" s="2777"/>
      <c r="D1" s="2777"/>
      <c r="E1" s="2777"/>
      <c r="F1" s="2777"/>
      <c r="G1" s="2777"/>
    </row>
    <row r="2" spans="1:7" ht="49" customHeight="1">
      <c r="A2" s="2780" t="s">
        <v>20</v>
      </c>
      <c r="B2" s="2780"/>
      <c r="C2" s="2780"/>
      <c r="D2" s="2780"/>
      <c r="E2" s="2780"/>
      <c r="F2" s="2780"/>
      <c r="G2" s="2780"/>
    </row>
    <row r="3" spans="1:7" ht="16">
      <c r="A3" s="369"/>
      <c r="B3" s="369"/>
    </row>
    <row r="4" spans="1:7" ht="18">
      <c r="A4" s="2782" t="s">
        <v>21</v>
      </c>
      <c r="B4" s="2782"/>
      <c r="C4" s="2782"/>
      <c r="D4" s="2782"/>
      <c r="E4" s="2782"/>
      <c r="F4" s="2782"/>
      <c r="G4" s="2782"/>
    </row>
    <row r="5" spans="1:7" ht="16">
      <c r="A5" s="2781" t="s">
        <v>22</v>
      </c>
      <c r="B5" s="2781"/>
      <c r="C5" s="2781"/>
      <c r="D5" s="2781"/>
      <c r="E5" s="2781"/>
      <c r="F5" s="2781"/>
      <c r="G5" s="2781"/>
    </row>
    <row r="6" spans="1:7" ht="16">
      <c r="A6" s="2781" t="s">
        <v>1504</v>
      </c>
      <c r="B6" s="2781"/>
      <c r="C6" s="2781"/>
      <c r="D6" s="2781"/>
      <c r="E6" s="2781"/>
      <c r="F6" s="2781"/>
      <c r="G6" s="2781"/>
    </row>
    <row r="7" spans="1:7" ht="31" customHeight="1">
      <c r="A7" s="2744" t="s">
        <v>23</v>
      </c>
      <c r="B7" s="2744"/>
      <c r="C7" s="2744"/>
      <c r="D7" s="2744"/>
      <c r="E7" s="2744"/>
      <c r="F7" s="2744"/>
      <c r="G7" s="2744"/>
    </row>
    <row r="8" spans="1:7" ht="34" customHeight="1">
      <c r="A8" s="2744" t="s">
        <v>24</v>
      </c>
      <c r="B8" s="2744"/>
      <c r="C8" s="2744"/>
      <c r="D8" s="2744"/>
      <c r="E8" s="2744"/>
      <c r="F8" s="2744"/>
      <c r="G8" s="2744"/>
    </row>
    <row r="9" spans="1:7" ht="16">
      <c r="A9" s="2781" t="s">
        <v>25</v>
      </c>
      <c r="B9" s="2781"/>
      <c r="C9" s="2781"/>
      <c r="D9" s="2781"/>
      <c r="E9" s="2781"/>
      <c r="F9" s="2781"/>
      <c r="G9" s="2781"/>
    </row>
    <row r="10" spans="1:7" ht="16">
      <c r="A10" s="2781" t="s">
        <v>26</v>
      </c>
      <c r="B10" s="2781"/>
      <c r="C10" s="2781"/>
      <c r="D10" s="2781"/>
      <c r="E10" s="2781"/>
      <c r="F10" s="2781"/>
      <c r="G10" s="2781"/>
    </row>
    <row r="11" spans="1:7" ht="16">
      <c r="A11" s="2781" t="s">
        <v>27</v>
      </c>
      <c r="B11" s="2781"/>
      <c r="C11" s="2781"/>
      <c r="D11" s="2781"/>
      <c r="E11" s="2781"/>
      <c r="F11" s="2781"/>
      <c r="G11" s="2781"/>
    </row>
    <row r="12" spans="1:7" ht="16">
      <c r="A12" s="369"/>
      <c r="B12" s="369"/>
    </row>
    <row r="13" spans="1:7" ht="18">
      <c r="A13" s="2778" t="s">
        <v>28</v>
      </c>
      <c r="B13" s="2778"/>
      <c r="C13" s="2778"/>
      <c r="D13" s="2778"/>
      <c r="E13" s="2778"/>
      <c r="F13" s="2778"/>
      <c r="G13" s="2778"/>
    </row>
    <row r="14" spans="1:7" ht="52" customHeight="1">
      <c r="A14" s="2779" t="str">
        <f>"Hvis skolen har heltids-SFO, børnehave og vuggestue skal børnetallene herfor oplyses i hhv. G7, G8 og G9. Gør man ikke det beregnes budgettallene for "&amp;budgetår+1&amp;" ikke."</f>
        <v>Hvis skolen har heltids-SFO, børnehave og vuggestue skal børnetallene herfor oplyses i hhv. G7, G8 og G9. Gør man ikke det beregnes budgettallene for 2027 ikke.</v>
      </c>
      <c r="B14" s="2779"/>
      <c r="C14" s="2779"/>
      <c r="D14" s="2779"/>
      <c r="E14" s="2779"/>
      <c r="F14" s="2779"/>
      <c r="G14" s="2779"/>
    </row>
    <row r="15" spans="1:7" ht="56" customHeight="1">
      <c r="A15" s="2779" t="str">
        <f>"Tast regnskabstal for "&amp;budgetår-2&amp;" og forventede tal for "&amp;budgetår-1&amp;". Tallene bruges til at sammenligne, og se til om budgettet giver mening i forhold til elevtal, indtægter og udgifter."</f>
        <v>Tast regnskabstal for 2024 og forventede tal for 2025. Tallene bruges til at sammenligne, og se til om budgettet giver mening i forhold til elevtal, indtægter og udgifter.</v>
      </c>
      <c r="B15" s="2779"/>
      <c r="C15" s="2779"/>
      <c r="D15" s="2779"/>
      <c r="E15" s="2779"/>
      <c r="F15" s="2779"/>
      <c r="G15" s="2779"/>
    </row>
    <row r="16" spans="1:7" ht="16">
      <c r="A16" s="369"/>
      <c r="B16" s="369"/>
    </row>
    <row r="17" spans="1:7" ht="18">
      <c r="A17" s="679" t="s">
        <v>29</v>
      </c>
      <c r="B17" s="680"/>
      <c r="C17" s="681"/>
      <c r="D17" s="681"/>
      <c r="E17" s="681"/>
      <c r="F17" s="681"/>
      <c r="G17" s="681"/>
    </row>
    <row r="18" spans="1:7" ht="53" customHeight="1">
      <c r="A18" s="2783" t="s">
        <v>1515</v>
      </c>
      <c r="B18" s="2784"/>
      <c r="C18" s="2784"/>
      <c r="D18" s="2784"/>
      <c r="E18" s="2784"/>
      <c r="F18" s="2784"/>
      <c r="G18" s="2784"/>
    </row>
    <row r="19" spans="1:7" ht="70" customHeight="1">
      <c r="A19" s="2783" t="s">
        <v>1505</v>
      </c>
      <c r="B19" s="2783"/>
      <c r="C19" s="2783"/>
      <c r="D19" s="2783"/>
      <c r="E19" s="2783"/>
      <c r="F19" s="2783"/>
      <c r="G19" s="2783"/>
    </row>
    <row r="20" spans="1:7" ht="16">
      <c r="A20" s="369"/>
      <c r="B20" s="369"/>
    </row>
    <row r="21" spans="1:7" ht="18">
      <c r="A21" s="2774" t="s">
        <v>30</v>
      </c>
      <c r="B21" s="2774"/>
      <c r="C21" s="2774"/>
      <c r="D21" s="2774"/>
      <c r="E21" s="2774"/>
      <c r="F21" s="2774"/>
      <c r="G21" s="2774"/>
    </row>
    <row r="22" spans="1:7" ht="41" customHeight="1">
      <c r="A22" s="2773" t="str">
        <f>"Ansættelsesmåneder. Check de rette antal mdr. hver enkelt medarbejder er ansat i hhv. "&amp;budgetår&amp;" række 9 og "&amp;budgetår+1&amp;" række 10."</f>
        <v>Ansættelsesmåneder. Check de rette antal mdr. hver enkelt medarbejder er ansat i hhv. 2026 række 9 og 2027 række 10.</v>
      </c>
      <c r="B22" s="2773"/>
      <c r="C22" s="2773"/>
      <c r="D22" s="2773"/>
      <c r="E22" s="2773"/>
      <c r="F22" s="2773"/>
      <c r="G22" s="2773"/>
    </row>
    <row r="23" spans="1:7" ht="18" customHeight="1">
      <c r="A23" s="2772" t="s">
        <v>31</v>
      </c>
      <c r="B23" s="2772"/>
      <c r="C23" s="2772"/>
      <c r="D23" s="2772"/>
      <c r="E23" s="2772"/>
      <c r="F23" s="2772"/>
      <c r="G23" s="2772"/>
    </row>
    <row r="24" spans="1:7" ht="56" customHeight="1">
      <c r="A24" s="2773" t="s">
        <v>32</v>
      </c>
      <c r="B24" s="2773"/>
      <c r="C24" s="2773"/>
      <c r="D24" s="2773"/>
      <c r="E24" s="2773"/>
      <c r="F24" s="2773"/>
      <c r="G24" s="2773"/>
    </row>
    <row r="25" spans="1:7" ht="22" customHeight="1">
      <c r="A25" s="2772" t="str">
        <f>"Seniorbonusordning. Er den ansatte fyldt 62 år i "&amp;budgetår&amp;" svar Ja i række 13 og 14."</f>
        <v>Seniorbonusordning. Er den ansatte fyldt 62 år i 2026 svar Ja i række 13 og 14.</v>
      </c>
      <c r="B25" s="2772"/>
      <c r="C25" s="2772"/>
      <c r="D25" s="2772"/>
      <c r="E25" s="2772"/>
      <c r="F25" s="2772"/>
      <c r="G25" s="2772"/>
    </row>
    <row r="26" spans="1:7" ht="21" customHeight="1">
      <c r="A26" s="2772" t="str">
        <f>"Seniorbonusordning. Er den ansatte fyldt 62 år i "&amp;budgetår+1&amp;" svar Ja i række 14."</f>
        <v>Seniorbonusordning. Er den ansatte fyldt 62 år i 2027 svar Ja i række 14.</v>
      </c>
      <c r="B26" s="2772"/>
      <c r="C26" s="2772"/>
      <c r="D26" s="2772"/>
      <c r="E26" s="2772"/>
      <c r="F26" s="2772"/>
      <c r="G26" s="2772"/>
    </row>
    <row r="27" spans="1:7" ht="40" customHeight="1">
      <c r="A27" s="2773" t="s">
        <v>33</v>
      </c>
      <c r="B27" s="2773"/>
      <c r="C27" s="2773"/>
      <c r="D27" s="2773"/>
      <c r="E27" s="2773"/>
      <c r="F27" s="2773"/>
      <c r="G27" s="2773"/>
    </row>
    <row r="28" spans="1:7" ht="20" customHeight="1">
      <c r="A28" s="2772" t="s">
        <v>34</v>
      </c>
      <c r="B28" s="2772"/>
      <c r="C28" s="2772"/>
      <c r="D28" s="2772"/>
      <c r="E28" s="2772"/>
      <c r="F28" s="2772"/>
      <c r="G28" s="2772"/>
    </row>
    <row r="29" spans="1:7" ht="105" customHeight="1">
      <c r="A29" s="2773" t="s">
        <v>35</v>
      </c>
      <c r="B29" s="2773"/>
      <c r="C29" s="2773"/>
      <c r="D29" s="2773"/>
      <c r="E29" s="2773"/>
      <c r="F29" s="2773"/>
      <c r="G29" s="2773"/>
    </row>
    <row r="30" spans="1:7" ht="22" customHeight="1">
      <c r="A30" s="682" t="s">
        <v>1506</v>
      </c>
      <c r="B30" s="682"/>
      <c r="C30" s="683"/>
      <c r="D30" s="683"/>
      <c r="E30" s="683"/>
      <c r="F30" s="683"/>
      <c r="G30" s="683"/>
    </row>
    <row r="31" spans="1:7" ht="40" customHeight="1">
      <c r="A31" s="2773" t="s">
        <v>1507</v>
      </c>
      <c r="B31" s="2773"/>
      <c r="C31" s="2773"/>
      <c r="D31" s="2773"/>
      <c r="E31" s="2773"/>
      <c r="F31" s="2773"/>
      <c r="G31" s="2773"/>
    </row>
    <row r="32" spans="1:7" ht="56" customHeight="1">
      <c r="A32" s="2773" t="s">
        <v>1508</v>
      </c>
      <c r="B32" s="2773"/>
      <c r="C32" s="2773"/>
      <c r="D32" s="2773"/>
      <c r="E32" s="2773"/>
      <c r="F32" s="2773"/>
      <c r="G32" s="2773"/>
    </row>
    <row r="33" spans="1:7" ht="57" customHeight="1">
      <c r="A33" s="2773" t="s">
        <v>1509</v>
      </c>
      <c r="B33" s="2773"/>
      <c r="C33" s="2773"/>
      <c r="D33" s="2773"/>
      <c r="E33" s="2773"/>
      <c r="F33" s="2773"/>
      <c r="G33" s="2773"/>
    </row>
    <row r="34" spans="1:7" ht="38" customHeight="1">
      <c r="A34" s="2773" t="s">
        <v>1510</v>
      </c>
      <c r="B34" s="2773"/>
      <c r="C34" s="2773"/>
      <c r="D34" s="2773"/>
      <c r="E34" s="2773"/>
      <c r="F34" s="2773"/>
      <c r="G34" s="2773"/>
    </row>
    <row r="35" spans="1:7" ht="52" customHeight="1">
      <c r="A35" s="2773" t="s">
        <v>1518</v>
      </c>
      <c r="B35" s="2773"/>
      <c r="C35" s="2773"/>
      <c r="D35" s="2773"/>
      <c r="E35" s="2773"/>
      <c r="F35" s="2773"/>
      <c r="G35" s="2773"/>
    </row>
    <row r="36" spans="1:7" ht="39" customHeight="1">
      <c r="A36" s="2773" t="s">
        <v>1511</v>
      </c>
      <c r="B36" s="2773"/>
      <c r="C36" s="2773"/>
      <c r="D36" s="2773"/>
      <c r="E36" s="2773"/>
      <c r="F36" s="2773"/>
      <c r="G36" s="2773"/>
    </row>
    <row r="37" spans="1:7" ht="56" customHeight="1">
      <c r="A37" s="2773" t="s">
        <v>1512</v>
      </c>
      <c r="B37" s="2773"/>
      <c r="C37" s="2773"/>
      <c r="D37" s="2773"/>
      <c r="E37" s="2773"/>
      <c r="F37" s="2773"/>
      <c r="G37" s="2773"/>
    </row>
    <row r="38" spans="1:7" ht="21" customHeight="1">
      <c r="A38" s="2772" t="s">
        <v>1513</v>
      </c>
      <c r="B38" s="2772"/>
      <c r="C38" s="2772"/>
      <c r="D38" s="2772"/>
      <c r="E38" s="2772"/>
      <c r="F38" s="2772"/>
      <c r="G38" s="2772"/>
    </row>
    <row r="39" spans="1:7" ht="38" customHeight="1">
      <c r="A39" s="2773" t="str">
        <f>"Ferietillæg udgør en stor løndel, og er vigtig at huske. I række 62 oplyses antal mdr. den ansatte har været ansat fra september "&amp;budgetår-1&amp;" til og med august "&amp;budgetår&amp;". "</f>
        <v xml:space="preserve">Ferietillæg udgør en stor løndel, og er vigtig at huske. I række 62 oplyses antal mdr. den ansatte har været ansat fra september 2025 til og med august 2026. </v>
      </c>
      <c r="B39" s="2773"/>
      <c r="C39" s="2773"/>
      <c r="D39" s="2773"/>
      <c r="E39" s="2773"/>
      <c r="F39" s="2773"/>
      <c r="G39" s="2773"/>
    </row>
    <row r="40" spans="1:7" ht="38" customHeight="1">
      <c r="A40" s="2773" t="s">
        <v>1514</v>
      </c>
      <c r="B40" s="2773"/>
      <c r="C40" s="2773"/>
      <c r="D40" s="2773"/>
      <c r="E40" s="2773"/>
      <c r="F40" s="2773"/>
      <c r="G40" s="2773"/>
    </row>
    <row r="41" spans="1:7" ht="37" customHeight="1">
      <c r="A41" s="2773" t="s">
        <v>1517</v>
      </c>
      <c r="B41" s="2773"/>
      <c r="C41" s="2773"/>
      <c r="D41" s="2773"/>
      <c r="E41" s="2773"/>
      <c r="F41" s="2773"/>
      <c r="G41" s="2773"/>
    </row>
    <row r="42" spans="1:7" ht="18">
      <c r="A42" s="2774" t="s">
        <v>36</v>
      </c>
      <c r="B42" s="2774"/>
      <c r="C42" s="2774"/>
      <c r="D42" s="2774"/>
      <c r="E42" s="2774"/>
      <c r="F42" s="2774"/>
      <c r="G42" s="2774"/>
    </row>
    <row r="43" spans="1:7" ht="38" customHeight="1">
      <c r="A43" s="2773" t="s">
        <v>37</v>
      </c>
      <c r="B43" s="2773"/>
      <c r="C43" s="2773"/>
      <c r="D43" s="2773"/>
      <c r="E43" s="2773"/>
      <c r="F43" s="2773"/>
      <c r="G43" s="2773"/>
    </row>
    <row r="44" spans="1:7" ht="18">
      <c r="A44" s="2774" t="s">
        <v>38</v>
      </c>
      <c r="B44" s="2774"/>
      <c r="C44" s="2774"/>
      <c r="D44" s="2774"/>
      <c r="E44" s="2774"/>
      <c r="F44" s="2774"/>
      <c r="G44" s="2774"/>
    </row>
    <row r="45" spans="1:7" ht="37" customHeight="1">
      <c r="A45" s="2773" t="str">
        <f>"Refusioner for "&amp;budgetår&amp;" vedr. barsel, sygdom, fleksjob mm oplyses som årlige budgettal i række 73-80. Husk at beløbet oplyses som et negativt tal."</f>
        <v>Refusioner for 2026 vedr. barsel, sygdom, fleksjob mm oplyses som årlige budgettal i række 73-80. Husk at beløbet oplyses som et negativt tal.</v>
      </c>
      <c r="B45" s="2773"/>
      <c r="C45" s="2773"/>
      <c r="D45" s="2773"/>
      <c r="E45" s="2773"/>
      <c r="F45" s="2773"/>
      <c r="G45" s="2773"/>
    </row>
    <row r="46" spans="1:7" ht="36" customHeight="1">
      <c r="A46" s="2773" t="str">
        <f>"Refusioner for "&amp;budgetår+1&amp;" vedr. barsel, sygdom, fleksjob mm oplyses som årlige budgettal i række 82. Husk at beløbet oplyses som et negativt tal."</f>
        <v>Refusioner for 2027 vedr. barsel, sygdom, fleksjob mm oplyses som årlige budgettal i række 82. Husk at beløbet oplyses som et negativt tal.</v>
      </c>
      <c r="B46" s="2773"/>
      <c r="C46" s="2773"/>
      <c r="D46" s="2773"/>
      <c r="E46" s="2773"/>
      <c r="F46" s="2773"/>
      <c r="G46" s="2773"/>
    </row>
    <row r="47" spans="1:7" ht="18">
      <c r="A47" s="684" t="s">
        <v>39</v>
      </c>
      <c r="B47" s="682"/>
      <c r="C47" s="683"/>
      <c r="D47" s="683"/>
      <c r="E47" s="683"/>
      <c r="F47" s="683"/>
      <c r="G47" s="683"/>
    </row>
    <row r="48" spans="1:7" ht="47" customHeight="1">
      <c r="A48" s="2773" t="str">
        <f>"Oplys antal skyldige feriedage og særlige feriedage for hhv. "&amp;budgetår-1&amp;", "&amp;budgetår&amp;" og "&amp;budgetår+1&amp;" i række 90, 92 og 94. Vær her OBS på at ansatte med mere end en kolonne skal have de skyldige feriedage oplyst i de kolonner og årstal hvor forpligtigelsen er."</f>
        <v>Oplys antal skyldige feriedage og særlige feriedage for hhv. 2025, 2026 og 2027 i række 90, 92 og 94. Vær her OBS på at ansatte med mere end en kolonne skal have de skyldige feriedage oplyst i de kolonner og årstal hvor forpligtigelsen er.</v>
      </c>
      <c r="B48" s="2773"/>
      <c r="C48" s="2773"/>
      <c r="D48" s="2773"/>
      <c r="E48" s="2773"/>
      <c r="F48" s="2773"/>
      <c r="G48" s="2773"/>
    </row>
    <row r="49" spans="1:7" ht="16">
      <c r="A49" s="369"/>
      <c r="B49" s="369"/>
    </row>
    <row r="50" spans="1:7" ht="18">
      <c r="A50" s="2775" t="s">
        <v>40</v>
      </c>
      <c r="B50" s="2775"/>
      <c r="C50" s="2775"/>
      <c r="D50" s="2775"/>
      <c r="E50" s="2775"/>
      <c r="F50" s="2775"/>
      <c r="G50" s="2775"/>
    </row>
    <row r="51" spans="1:7" ht="34" customHeight="1">
      <c r="A51" s="2776" t="s">
        <v>41</v>
      </c>
      <c r="B51" s="2776"/>
      <c r="C51" s="2776"/>
      <c r="D51" s="2776"/>
      <c r="E51" s="2776"/>
      <c r="F51" s="2776"/>
      <c r="G51" s="2776"/>
    </row>
    <row r="52" spans="1:7" ht="54" customHeight="1">
      <c r="A52" s="2765" t="s">
        <v>42</v>
      </c>
      <c r="B52" s="2776"/>
      <c r="C52" s="2776"/>
      <c r="D52" s="2776"/>
      <c r="E52" s="2776"/>
      <c r="F52" s="2776"/>
      <c r="G52" s="2776"/>
    </row>
    <row r="53" spans="1:7" ht="19" customHeight="1">
      <c r="A53" s="2771" t="s">
        <v>43</v>
      </c>
      <c r="B53" s="2771"/>
      <c r="C53" s="2771"/>
      <c r="D53" s="2771"/>
      <c r="E53" s="2771"/>
      <c r="F53" s="2771"/>
      <c r="G53" s="2771"/>
    </row>
    <row r="54" spans="1:7" ht="36" customHeight="1">
      <c r="A54" s="2765" t="str">
        <f>"Ansættelsesmåneder. I række 14 og 15 checkes at det er de korrekte antal måneder den ansatte er budgetteret med for hhv. "&amp;budgetår&amp;" og "&amp;budgetår+1&amp;"."</f>
        <v>Ansættelsesmåneder. I række 14 og 15 checkes at det er de korrekte antal måneder den ansatte er budgetteret med for hhv. 2026 og 2027.</v>
      </c>
      <c r="B54" s="2765"/>
      <c r="C54" s="2765"/>
      <c r="D54" s="2765"/>
      <c r="E54" s="2765"/>
      <c r="F54" s="2765"/>
      <c r="G54" s="2765"/>
    </row>
    <row r="55" spans="1:7" ht="20" customHeight="1">
      <c r="A55" s="2765" t="s">
        <v>44</v>
      </c>
      <c r="B55" s="2765"/>
      <c r="C55" s="2765"/>
      <c r="D55" s="2765"/>
      <c r="E55" s="2765"/>
      <c r="F55" s="2765"/>
      <c r="G55" s="2765"/>
    </row>
    <row r="56" spans="1:7" ht="38" customHeight="1">
      <c r="A56" s="2765" t="s">
        <v>45</v>
      </c>
      <c r="B56" s="2765"/>
      <c r="C56" s="2765"/>
      <c r="D56" s="2765"/>
      <c r="E56" s="2765"/>
      <c r="F56" s="2765"/>
      <c r="G56" s="2765"/>
    </row>
    <row r="57" spans="1:7" ht="37" customHeight="1">
      <c r="A57" s="2765" t="str">
        <f>"Seniorbonus. Er den ansatte fyldt 62 år i "&amp;budgetår&amp;" og har den ansatte ret til seniorbonusordning svar Ja i række 18 og 19."</f>
        <v>Seniorbonus. Er den ansatte fyldt 62 år i 2026 og har den ansatte ret til seniorbonusordning svar Ja i række 18 og 19.</v>
      </c>
      <c r="B57" s="2765"/>
      <c r="C57" s="2765"/>
      <c r="D57" s="2765"/>
      <c r="E57" s="2765"/>
      <c r="F57" s="2765"/>
      <c r="G57" s="2765"/>
    </row>
    <row r="58" spans="1:7" ht="38" customHeight="1">
      <c r="A58" s="2765" t="str">
        <f>"Seniorbonus. Er den ansatte fyldt 62 år i "&amp;budgetår+1&amp;" og har den ansatte ret til seniorbonusordning svar Ja i række 19."</f>
        <v>Seniorbonus. Er den ansatte fyldt 62 år i 2027 og har den ansatte ret til seniorbonusordning svar Ja i række 19.</v>
      </c>
      <c r="B58" s="2765"/>
      <c r="C58" s="2765"/>
      <c r="D58" s="2765"/>
      <c r="E58" s="2765"/>
      <c r="F58" s="2765"/>
      <c r="G58" s="2765"/>
    </row>
    <row r="59" spans="1:7" ht="22" customHeight="1">
      <c r="A59" s="2765" t="s">
        <v>46</v>
      </c>
      <c r="B59" s="2765"/>
      <c r="C59" s="2765"/>
      <c r="D59" s="2765"/>
      <c r="E59" s="2765"/>
      <c r="F59" s="2765"/>
      <c r="G59" s="2765"/>
    </row>
    <row r="60" spans="1:7" ht="36" customHeight="1">
      <c r="A60" s="2765" t="s">
        <v>47</v>
      </c>
      <c r="B60" s="2765"/>
      <c r="C60" s="2765"/>
      <c r="D60" s="2765"/>
      <c r="E60" s="2765"/>
      <c r="F60" s="2765"/>
      <c r="G60" s="2765"/>
    </row>
    <row r="61" spans="1:7" ht="19" customHeight="1">
      <c r="A61" s="2771" t="s">
        <v>48</v>
      </c>
      <c r="B61" s="2771"/>
      <c r="C61" s="2771"/>
      <c r="D61" s="2771"/>
      <c r="E61" s="2771"/>
      <c r="F61" s="2771"/>
      <c r="G61" s="2771"/>
    </row>
    <row r="62" spans="1:7" ht="34" customHeight="1">
      <c r="A62" s="2765" t="s">
        <v>49</v>
      </c>
      <c r="B62" s="2765"/>
      <c r="C62" s="2765"/>
      <c r="D62" s="2765"/>
      <c r="E62" s="2765"/>
      <c r="F62" s="2765"/>
      <c r="G62" s="2765"/>
    </row>
    <row r="63" spans="1:7" ht="35" customHeight="1">
      <c r="A63" s="2765" t="s">
        <v>50</v>
      </c>
      <c r="B63" s="2765"/>
      <c r="C63" s="2765"/>
      <c r="D63" s="2765"/>
      <c r="E63" s="2765"/>
      <c r="F63" s="2765"/>
      <c r="G63" s="2765"/>
    </row>
    <row r="64" spans="1:7" ht="19" customHeight="1">
      <c r="A64" s="2771" t="s">
        <v>51</v>
      </c>
      <c r="B64" s="2771"/>
      <c r="C64" s="2771"/>
      <c r="D64" s="2771"/>
      <c r="E64" s="2771"/>
      <c r="F64" s="2771"/>
      <c r="G64" s="2771"/>
    </row>
    <row r="65" spans="1:7" ht="19" customHeight="1">
      <c r="A65" s="2765" t="s">
        <v>52</v>
      </c>
      <c r="B65" s="2765"/>
      <c r="C65" s="2765"/>
      <c r="D65" s="2765"/>
      <c r="E65" s="2765"/>
      <c r="F65" s="2765"/>
      <c r="G65" s="2765"/>
    </row>
    <row r="66" spans="1:7" ht="35" customHeight="1">
      <c r="A66" s="2765" t="str">
        <f>"Ferietillæg udgør en stor løndel, og er vigtig at huske. I række 50 oplyses antal mdr. den ansatte har været ansat fra september "&amp;budgetår-1&amp;" til og med august "&amp;budgetår&amp;". "</f>
        <v xml:space="preserve">Ferietillæg udgør en stor løndel, og er vigtig at huske. I række 50 oplyses antal mdr. den ansatte har været ansat fra september 2025 til og med august 2026. </v>
      </c>
      <c r="B66" s="2765"/>
      <c r="C66" s="2765"/>
      <c r="D66" s="2765"/>
      <c r="E66" s="2765"/>
      <c r="F66" s="2765"/>
      <c r="G66" s="2765"/>
    </row>
    <row r="67" spans="1:7" ht="37" customHeight="1">
      <c r="A67" s="2765" t="s">
        <v>53</v>
      </c>
      <c r="B67" s="2765"/>
      <c r="C67" s="2765"/>
      <c r="D67" s="2765"/>
      <c r="E67" s="2765"/>
      <c r="F67" s="2765"/>
      <c r="G67" s="2765"/>
    </row>
    <row r="68" spans="1:7" ht="18">
      <c r="A68" s="685" t="s">
        <v>38</v>
      </c>
      <c r="B68" s="686"/>
      <c r="C68" s="687"/>
      <c r="D68" s="687"/>
      <c r="E68" s="687"/>
      <c r="F68" s="687"/>
      <c r="G68" s="687"/>
    </row>
    <row r="69" spans="1:7" ht="36" customHeight="1">
      <c r="A69" s="2765" t="str">
        <f>"Refusioner for "&amp;budgetår&amp;" vedr. barsel, sygdom, fleksjob mm oplyses som årlige budgettal i række 61-67. Husk at beløbet oplyses som et negativt tal."</f>
        <v>Refusioner for 2026 vedr. barsel, sygdom, fleksjob mm oplyses som årlige budgettal i række 61-67. Husk at beløbet oplyses som et negativt tal.</v>
      </c>
      <c r="B69" s="2765"/>
      <c r="C69" s="2765"/>
      <c r="D69" s="2765"/>
      <c r="E69" s="2765"/>
      <c r="F69" s="2765"/>
      <c r="G69" s="2765"/>
    </row>
    <row r="70" spans="1:7" ht="34" customHeight="1">
      <c r="A70" s="2765" t="str">
        <f>"Refusioner for "&amp;budgetår+1&amp;" vedr. barsel, sygdom, fleksjob mm oplyses som årlige budgettal i række 69. Husk at beløbet oplyses som et negativt tal."</f>
        <v>Refusioner for 2027 vedr. barsel, sygdom, fleksjob mm oplyses som årlige budgettal i række 69. Husk at beløbet oplyses som et negativt tal.</v>
      </c>
      <c r="B70" s="2765"/>
      <c r="C70" s="2765"/>
      <c r="D70" s="2765"/>
      <c r="E70" s="2765"/>
      <c r="F70" s="2765"/>
      <c r="G70" s="2765"/>
    </row>
    <row r="71" spans="1:7" s="96" customFormat="1" ht="18">
      <c r="A71" s="685" t="s">
        <v>39</v>
      </c>
      <c r="B71" s="685"/>
      <c r="C71" s="685"/>
      <c r="D71" s="685"/>
      <c r="E71" s="685"/>
      <c r="F71" s="685"/>
      <c r="G71" s="685"/>
    </row>
    <row r="72" spans="1:7" ht="36" customHeight="1">
      <c r="A72" s="2765" t="str">
        <f>"Oplys antal skyldige feriedage og særlige feriedage for hhv. "&amp;budgetår-1&amp;", "&amp;budgetår&amp;" og "&amp;budgetår+1&amp;" i række 78, 80 og 82."</f>
        <v>Oplys antal skyldige feriedage og særlige feriedage for hhv. 2025, 2026 og 2027 i række 78, 80 og 82.</v>
      </c>
      <c r="B72" s="2765"/>
      <c r="C72" s="2765"/>
      <c r="D72" s="2765"/>
      <c r="E72" s="2765"/>
      <c r="F72" s="2765"/>
      <c r="G72" s="2765"/>
    </row>
    <row r="73" spans="1:7" ht="16">
      <c r="A73" s="369"/>
      <c r="B73" s="369"/>
    </row>
    <row r="74" spans="1:7" ht="18">
      <c r="A74" s="688" t="s">
        <v>54</v>
      </c>
      <c r="B74" s="689"/>
      <c r="C74" s="690"/>
      <c r="D74" s="690"/>
      <c r="E74" s="690"/>
      <c r="F74" s="690"/>
      <c r="G74" s="690"/>
    </row>
    <row r="75" spans="1:7" ht="36" customHeight="1">
      <c r="A75" s="2766" t="s">
        <v>55</v>
      </c>
      <c r="B75" s="2766"/>
      <c r="C75" s="2766"/>
      <c r="D75" s="2766"/>
      <c r="E75" s="2766"/>
      <c r="F75" s="2766"/>
      <c r="G75" s="2766"/>
    </row>
    <row r="76" spans="1:7" ht="36" customHeight="1">
      <c r="A76" s="678"/>
      <c r="B76" s="678"/>
      <c r="C76" s="678"/>
      <c r="D76" s="678"/>
      <c r="E76" s="678"/>
      <c r="F76" s="678"/>
      <c r="G76" s="678"/>
    </row>
    <row r="77" spans="1:7" ht="18">
      <c r="A77" s="691" t="s">
        <v>56</v>
      </c>
      <c r="B77" s="692"/>
      <c r="C77" s="693"/>
      <c r="D77" s="693"/>
      <c r="E77" s="693"/>
      <c r="F77" s="693"/>
      <c r="G77" s="693"/>
    </row>
    <row r="78" spans="1:7" ht="133" customHeight="1">
      <c r="A78" s="2767" t="s">
        <v>57</v>
      </c>
      <c r="B78" s="2767"/>
      <c r="C78" s="2767"/>
      <c r="D78" s="2767"/>
      <c r="E78" s="2767"/>
      <c r="F78" s="2767"/>
      <c r="G78" s="2767"/>
    </row>
    <row r="79" spans="1:7" ht="86" customHeight="1">
      <c r="A79" s="2767" t="s">
        <v>1516</v>
      </c>
      <c r="B79" s="2767"/>
      <c r="C79" s="2767"/>
      <c r="D79" s="2767"/>
      <c r="E79" s="2767"/>
      <c r="F79" s="2767"/>
      <c r="G79" s="2767"/>
    </row>
    <row r="80" spans="1:7" ht="16">
      <c r="A80" s="369"/>
      <c r="B80" s="369"/>
    </row>
    <row r="81" spans="1:7" ht="36" customHeight="1">
      <c r="A81" s="2768" t="s">
        <v>58</v>
      </c>
      <c r="B81" s="2768"/>
      <c r="C81" s="2768"/>
      <c r="D81" s="2768"/>
      <c r="E81" s="2768"/>
      <c r="F81" s="2768"/>
      <c r="G81" s="2768"/>
    </row>
    <row r="82" spans="1:7" ht="83" customHeight="1">
      <c r="A82" s="2769" t="str">
        <f>"Driftstilskud fra "&amp;budgetår&amp;" til "&amp;budgetår+1&amp;" ændres automatisk med prisreguleringen lagt ind i satsbilaget. Sker der større ændring på udgiftssiden skal dette manuelt reguleres ved at taste en enten positiv eller negativ ændring fra "&amp;budgetår&amp;" til "&amp;budgetår+1&amp;". Eksempler kan være at der ikke er lejrskole hvert år, at der skal bygges, større engangsinvesteringer der ikke skal tælle begge år og lign."</f>
        <v>Driftstilskud fra 2026 til 2027 ændres automatisk med prisreguleringen lagt ind i satsbilaget. Sker der større ændring på udgiftssiden skal dette manuelt reguleres ved at taste en enten positiv eller negativ ændring fra 2026 til 2027. Eksempler kan være at der ikke er lejrskole hvert år, at der skal bygges, større engangsinvesteringer der ikke skal tælle begge år og lign.</v>
      </c>
      <c r="B82" s="2769"/>
      <c r="C82" s="2769"/>
      <c r="D82" s="2769"/>
      <c r="E82" s="2769"/>
      <c r="F82" s="2769"/>
      <c r="G82" s="2769"/>
    </row>
    <row r="83" spans="1:7" ht="16">
      <c r="A83" s="369"/>
      <c r="B83" s="369"/>
    </row>
    <row r="84" spans="1:7" ht="18">
      <c r="A84" s="2770" t="s">
        <v>59</v>
      </c>
      <c r="B84" s="2770"/>
      <c r="C84" s="2770"/>
      <c r="D84" s="2770"/>
      <c r="E84" s="2770"/>
      <c r="F84" s="2770"/>
      <c r="G84" s="2770"/>
    </row>
    <row r="85" spans="1:7" ht="16">
      <c r="A85" s="369"/>
      <c r="B85" s="369"/>
    </row>
    <row r="86" spans="1:7" ht="25">
      <c r="A86" s="694" t="s">
        <v>60</v>
      </c>
      <c r="B86" s="93"/>
      <c r="C86" s="102"/>
      <c r="D86" s="102"/>
      <c r="E86" s="102"/>
      <c r="F86" s="102"/>
      <c r="G86" s="102"/>
    </row>
    <row r="87" spans="1:7" ht="70" customHeight="1">
      <c r="A87" s="2764" t="str">
        <f>"Når budgettet er lagt, og ovennævnte check er taget, gennemlæses budgettet i hovedskemaet. Læs her vandret vedr. "&amp;budgetår-2&amp;", "&amp;budgetår-1&amp;", "&amp;budgetår&amp;" og "&amp;budgetår+1&amp;" på alle indtægter og udgifter og check om der er større forskydninger der ikke kan forklares med ændring i elevtal, eller andre forklarelige reguleringer"</f>
        <v>Når budgettet er lagt, og ovennævnte check er taget, gennemlæses budgettet i hovedskemaet. Læs her vandret vedr. 2024, 2025, 2026 og 2027 på alle indtægter og udgifter og check om der er større forskydninger der ikke kan forklares med ændring i elevtal, eller andre forklarelige reguleringer</v>
      </c>
      <c r="B87" s="2764"/>
      <c r="C87" s="2764"/>
      <c r="D87" s="2764"/>
      <c r="E87" s="2764"/>
      <c r="F87" s="2764"/>
      <c r="G87" s="2764"/>
    </row>
  </sheetData>
  <sheetProtection sheet="1" objects="1" scenarios="1"/>
  <mergeCells count="69">
    <mergeCell ref="A34:G34"/>
    <mergeCell ref="A36:G36"/>
    <mergeCell ref="A37:G37"/>
    <mergeCell ref="A15:G15"/>
    <mergeCell ref="A19:G19"/>
    <mergeCell ref="A21:G21"/>
    <mergeCell ref="A28:G28"/>
    <mergeCell ref="A29:G29"/>
    <mergeCell ref="A31:G31"/>
    <mergeCell ref="A32:G32"/>
    <mergeCell ref="A33:G33"/>
    <mergeCell ref="A26:G26"/>
    <mergeCell ref="A27:G27"/>
    <mergeCell ref="A18:G18"/>
    <mergeCell ref="A35:G35"/>
    <mergeCell ref="A1:G1"/>
    <mergeCell ref="A13:G13"/>
    <mergeCell ref="A22:G22"/>
    <mergeCell ref="A23:G23"/>
    <mergeCell ref="A25:G25"/>
    <mergeCell ref="A14:G14"/>
    <mergeCell ref="A2:G2"/>
    <mergeCell ref="A5:G5"/>
    <mergeCell ref="A6:G6"/>
    <mergeCell ref="A7:G7"/>
    <mergeCell ref="A8:G8"/>
    <mergeCell ref="A9:G9"/>
    <mergeCell ref="A10:G10"/>
    <mergeCell ref="A11:G11"/>
    <mergeCell ref="A4:G4"/>
    <mergeCell ref="A24:G24"/>
    <mergeCell ref="A53:G53"/>
    <mergeCell ref="A38:G38"/>
    <mergeCell ref="A39:G39"/>
    <mergeCell ref="A41:G41"/>
    <mergeCell ref="A42:G42"/>
    <mergeCell ref="A43:G43"/>
    <mergeCell ref="A44:G44"/>
    <mergeCell ref="A45:G45"/>
    <mergeCell ref="A46:G46"/>
    <mergeCell ref="A48:G48"/>
    <mergeCell ref="A50:G50"/>
    <mergeCell ref="A51:G51"/>
    <mergeCell ref="A52:G52"/>
    <mergeCell ref="A40:G40"/>
    <mergeCell ref="A64:G64"/>
    <mergeCell ref="A54:G54"/>
    <mergeCell ref="A55:G55"/>
    <mergeCell ref="A56:G56"/>
    <mergeCell ref="A57:G57"/>
    <mergeCell ref="A58:G58"/>
    <mergeCell ref="A59:G59"/>
    <mergeCell ref="A60:G60"/>
    <mergeCell ref="A61:G61"/>
    <mergeCell ref="A62:G62"/>
    <mergeCell ref="A63:G63"/>
    <mergeCell ref="A87:G87"/>
    <mergeCell ref="A65:G65"/>
    <mergeCell ref="A66:G66"/>
    <mergeCell ref="A67:G67"/>
    <mergeCell ref="A69:G69"/>
    <mergeCell ref="A70:G70"/>
    <mergeCell ref="A72:G72"/>
    <mergeCell ref="A75:G75"/>
    <mergeCell ref="A78:G78"/>
    <mergeCell ref="A81:G81"/>
    <mergeCell ref="A82:G82"/>
    <mergeCell ref="A84:G84"/>
    <mergeCell ref="A79:G79"/>
  </mergeCells>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249977111117893"/>
    <pageSetUpPr fitToPage="1"/>
  </sheetPr>
  <dimension ref="A1:K63"/>
  <sheetViews>
    <sheetView topLeftCell="A20" zoomScale="277" workbookViewId="0">
      <selection activeCell="B12" sqref="B12"/>
    </sheetView>
  </sheetViews>
  <sheetFormatPr baseColWidth="10" defaultColWidth="11.5" defaultRowHeight="13"/>
  <cols>
    <col min="1" max="1" width="67.5" style="2" bestFit="1" customWidth="1"/>
    <col min="2" max="3" width="16.5" customWidth="1"/>
    <col min="4" max="4" width="17.5" bestFit="1" customWidth="1"/>
    <col min="5" max="5" width="24.5" customWidth="1"/>
    <col min="6" max="6" width="13.1640625" customWidth="1"/>
    <col min="7" max="7" width="12.5" customWidth="1"/>
    <col min="8" max="9" width="10.83203125" customWidth="1"/>
  </cols>
  <sheetData>
    <row r="1" spans="1:7" ht="16">
      <c r="A1" s="175" t="s">
        <v>61</v>
      </c>
      <c r="B1" s="176"/>
    </row>
    <row r="2" spans="1:7">
      <c r="A2"/>
      <c r="B2" s="517">
        <f>1.114336+1.49%</f>
        <v>1.1292359999999999</v>
      </c>
      <c r="C2" s="186" t="s">
        <v>62</v>
      </c>
      <c r="F2" s="177"/>
    </row>
    <row r="3" spans="1:7" ht="29" thickBot="1">
      <c r="A3" s="176"/>
      <c r="B3" s="181" t="str">
        <f>"i budgetåret: "&amp;budgetår</f>
        <v>i budgetåret: 2026</v>
      </c>
      <c r="C3" s="181" t="str">
        <f>"i året før budgetåret: "&amp;budgetår-1</f>
        <v>i året før budgetåret: 2025</v>
      </c>
      <c r="D3" s="185" t="s">
        <v>63</v>
      </c>
      <c r="F3" s="177"/>
    </row>
    <row r="4" spans="1:7" ht="14">
      <c r="A4" s="966" t="str">
        <f>"Til Feriefridages udbetaling "&amp;budgetår&amp;" - Optjent "&amp;budgetår-2&amp;""</f>
        <v>Til Feriefridages udbetaling 2026 - Optjent 2024</v>
      </c>
      <c r="B4" s="967"/>
      <c r="C4" s="968"/>
      <c r="D4" s="185"/>
      <c r="F4" s="177"/>
    </row>
    <row r="5" spans="1:7" ht="14">
      <c r="A5" s="969" t="str">
        <f>"Reguleringsprocent 1. januar "&amp;budgetår-2&amp;""</f>
        <v>Reguleringsprocent 1. januar 2024</v>
      </c>
      <c r="B5" s="970">
        <v>1.159197</v>
      </c>
      <c r="C5" s="968"/>
      <c r="D5" s="185"/>
      <c r="F5" s="177"/>
    </row>
    <row r="6" spans="1:7" ht="14">
      <c r="A6" s="969" t="str">
        <f>"Reguleringsprocent 1. april "&amp;Forside!B6-2&amp;""</f>
        <v>Reguleringsprocent 1. april 2024</v>
      </c>
      <c r="B6" s="970">
        <v>1.228067</v>
      </c>
      <c r="C6" s="968"/>
      <c r="D6" s="185"/>
      <c r="F6" s="177"/>
    </row>
    <row r="7" spans="1:7" ht="14">
      <c r="A7" s="969" t="str">
        <f>"Reguleringsprocent 1. oktober "&amp;budgetår-2&amp;""</f>
        <v>Reguleringsprocent 1. oktober 2024</v>
      </c>
      <c r="B7" s="970">
        <v>1.228067</v>
      </c>
      <c r="C7" s="968"/>
      <c r="D7" s="185"/>
      <c r="F7" s="177"/>
    </row>
    <row r="8" spans="1:7" ht="15" thickBot="1">
      <c r="A8" s="971" t="str">
        <f>"Gennemsnitlig reguleringsprocent "&amp;budgetår-2&amp;""</f>
        <v>Gennemsnitlig reguleringsprocent 2024</v>
      </c>
      <c r="B8" s="844">
        <f>((B5*3)+(B6*6)+(B7*3))/12</f>
        <v>1.2108494999999999</v>
      </c>
      <c r="C8" s="972"/>
      <c r="D8" s="185"/>
      <c r="F8" s="177"/>
    </row>
    <row r="9" spans="1:7" ht="12" customHeight="1">
      <c r="A9" s="845" t="str">
        <f>"Procentregulering 1. april "&amp;budgetår-1&amp;""</f>
        <v>Procentregulering 1. april 2025</v>
      </c>
      <c r="B9" s="973">
        <v>1.2330950000000001</v>
      </c>
      <c r="C9" s="974"/>
      <c r="D9" s="359" t="s">
        <v>64</v>
      </c>
      <c r="F9" s="2"/>
      <c r="G9" s="177"/>
    </row>
    <row r="10" spans="1:7" ht="12" customHeight="1">
      <c r="A10" s="658" t="s">
        <v>1552</v>
      </c>
      <c r="B10" s="2429">
        <v>1.249126</v>
      </c>
      <c r="C10" s="2430"/>
      <c r="D10" s="359"/>
      <c r="F10" s="2"/>
      <c r="G10" s="177"/>
    </row>
    <row r="11" spans="1:7" ht="12" customHeight="1">
      <c r="A11" s="658" t="str">
        <f>"Anslået procentregulering pr. 1. april "&amp;budgetår&amp;" + 2,5%"</f>
        <v>Anslået procentregulering pr. 1. april 2026 + 2,5%</v>
      </c>
      <c r="B11" s="975">
        <f>B10*(1+2.5%)</f>
        <v>1.2803541499999997</v>
      </c>
      <c r="C11" s="976"/>
      <c r="D11" s="359"/>
      <c r="F11" s="2"/>
      <c r="G11" s="177"/>
    </row>
    <row r="12" spans="1:7" ht="14" thickBot="1">
      <c r="A12" s="659" t="str">
        <f>"Beregnet procentregulering for budgetåret "&amp;budgetår&amp;""</f>
        <v>Beregnet procentregulering for budgetåret 2026</v>
      </c>
      <c r="B12" s="977">
        <f>(((B10*3)+(B11*9))/12)</f>
        <v>1.2725471124999996</v>
      </c>
      <c r="C12" s="978"/>
      <c r="D12" s="359" t="s">
        <v>65</v>
      </c>
      <c r="G12" s="177"/>
    </row>
    <row r="13" spans="1:7" ht="14">
      <c r="A13" s="518" t="s">
        <v>66</v>
      </c>
      <c r="B13" s="979">
        <v>297</v>
      </c>
      <c r="C13" s="980">
        <v>284</v>
      </c>
      <c r="D13" s="358" t="s">
        <v>67</v>
      </c>
      <c r="G13" s="177"/>
    </row>
    <row r="14" spans="1:7" ht="14">
      <c r="A14" s="277" t="s">
        <v>68</v>
      </c>
      <c r="B14" s="981">
        <f>1.42+0.71</f>
        <v>2.13</v>
      </c>
      <c r="C14" s="982">
        <v>2.0099999999999998</v>
      </c>
      <c r="D14" s="358"/>
      <c r="E14" s="186"/>
      <c r="F14" s="186"/>
      <c r="G14" s="177"/>
    </row>
    <row r="15" spans="1:7" ht="14">
      <c r="A15" s="277" t="s">
        <v>69</v>
      </c>
      <c r="B15" s="981">
        <v>108.35</v>
      </c>
      <c r="C15" s="982">
        <v>108.35</v>
      </c>
      <c r="D15" s="358" t="s">
        <v>70</v>
      </c>
      <c r="E15" s="186"/>
      <c r="F15" s="186"/>
      <c r="G15" s="177"/>
    </row>
    <row r="16" spans="1:7" ht="14">
      <c r="A16" s="277" t="s">
        <v>71</v>
      </c>
      <c r="B16" s="981">
        <v>130</v>
      </c>
      <c r="C16" s="982">
        <v>130</v>
      </c>
      <c r="D16" s="356" t="s">
        <v>72</v>
      </c>
      <c r="E16" s="186"/>
      <c r="F16" s="186"/>
      <c r="G16" s="177"/>
    </row>
    <row r="17" spans="1:5" ht="14">
      <c r="A17" s="277" t="s">
        <v>73</v>
      </c>
      <c r="B17" s="981">
        <v>10000</v>
      </c>
      <c r="C17" s="982">
        <v>10000</v>
      </c>
      <c r="D17" s="356" t="s">
        <v>74</v>
      </c>
    </row>
    <row r="18" spans="1:5" ht="14">
      <c r="A18" s="277" t="s">
        <v>75</v>
      </c>
      <c r="B18" s="983">
        <v>8330</v>
      </c>
      <c r="C18" s="2479">
        <v>8326</v>
      </c>
      <c r="D18" s="356" t="s">
        <v>76</v>
      </c>
    </row>
    <row r="19" spans="1:5" ht="14">
      <c r="A19" s="277" t="s">
        <v>77</v>
      </c>
      <c r="B19" s="983">
        <v>3332</v>
      </c>
      <c r="C19" s="2479">
        <v>3331</v>
      </c>
      <c r="D19" s="356" t="s">
        <v>78</v>
      </c>
    </row>
    <row r="20" spans="1:5" ht="14">
      <c r="A20" s="277" t="s">
        <v>79</v>
      </c>
      <c r="B20" s="983">
        <v>43734</v>
      </c>
      <c r="C20" s="2479">
        <v>43708</v>
      </c>
      <c r="D20" s="356" t="s">
        <v>80</v>
      </c>
    </row>
    <row r="21" spans="1:5" ht="14">
      <c r="A21" s="277" t="s">
        <v>81</v>
      </c>
      <c r="B21" s="983">
        <v>57729</v>
      </c>
      <c r="C21" s="2479">
        <v>57694</v>
      </c>
      <c r="D21" s="356" t="s">
        <v>82</v>
      </c>
    </row>
    <row r="22" spans="1:5" ht="14">
      <c r="A22" s="277" t="s">
        <v>83</v>
      </c>
      <c r="B22" s="983">
        <v>56624</v>
      </c>
      <c r="C22" s="2479">
        <v>56589</v>
      </c>
      <c r="D22" s="356" t="s">
        <v>84</v>
      </c>
    </row>
    <row r="23" spans="1:5">
      <c r="A23" s="354" t="s">
        <v>85</v>
      </c>
      <c r="B23" s="2481">
        <v>135843</v>
      </c>
      <c r="C23" s="2480">
        <v>135843</v>
      </c>
      <c r="D23" s="357" t="s">
        <v>86</v>
      </c>
    </row>
    <row r="24" spans="1:5" ht="12" customHeight="1">
      <c r="A24" s="364" t="s">
        <v>87</v>
      </c>
      <c r="B24" s="984">
        <v>19</v>
      </c>
      <c r="C24" s="985">
        <v>19</v>
      </c>
      <c r="D24" s="358" t="s">
        <v>88</v>
      </c>
    </row>
    <row r="25" spans="1:5">
      <c r="A25" s="276" t="s">
        <v>89</v>
      </c>
      <c r="B25" s="983">
        <v>2764</v>
      </c>
      <c r="C25" s="982">
        <v>2718</v>
      </c>
      <c r="D25" s="358" t="s">
        <v>90</v>
      </c>
    </row>
    <row r="26" spans="1:5" ht="15">
      <c r="A26" s="364" t="s">
        <v>91</v>
      </c>
      <c r="B26" s="983">
        <v>9111</v>
      </c>
      <c r="C26" s="982">
        <v>8707</v>
      </c>
      <c r="D26" s="358" t="s">
        <v>92</v>
      </c>
      <c r="E26" s="274"/>
    </row>
    <row r="27" spans="1:5" ht="15">
      <c r="A27" s="364" t="s">
        <v>93</v>
      </c>
      <c r="B27" s="983">
        <f>SFOtilsk</f>
        <v>9111</v>
      </c>
      <c r="C27" s="982">
        <v>8707</v>
      </c>
      <c r="D27" s="358"/>
      <c r="E27" s="274"/>
    </row>
    <row r="28" spans="1:5" ht="25">
      <c r="A28" s="754" t="s">
        <v>1520</v>
      </c>
      <c r="B28" s="983">
        <v>5177</v>
      </c>
      <c r="C28" s="982">
        <v>4517</v>
      </c>
      <c r="D28" s="358"/>
      <c r="E28" s="2785"/>
    </row>
    <row r="29" spans="1:5">
      <c r="A29" s="660" t="s">
        <v>94</v>
      </c>
      <c r="B29" s="983">
        <f>(236+262)*(1+0.013)*12</f>
        <v>6053.6879999999992</v>
      </c>
      <c r="C29" s="982">
        <v>6265</v>
      </c>
      <c r="D29" s="358" t="s">
        <v>95</v>
      </c>
      <c r="E29" s="2786"/>
    </row>
    <row r="30" spans="1:5">
      <c r="A30" s="660" t="s">
        <v>1519</v>
      </c>
      <c r="B30" s="983">
        <v>1780</v>
      </c>
      <c r="C30" s="982">
        <v>1404</v>
      </c>
      <c r="D30" s="358" t="s">
        <v>96</v>
      </c>
      <c r="E30" s="2785"/>
    </row>
    <row r="31" spans="1:5" ht="13" customHeight="1">
      <c r="A31" s="660" t="s">
        <v>97</v>
      </c>
      <c r="B31" s="986">
        <f>261*(1+0.03)</f>
        <v>268.83</v>
      </c>
      <c r="C31" s="987">
        <v>261</v>
      </c>
      <c r="D31" s="358" t="s">
        <v>98</v>
      </c>
      <c r="E31" s="2786"/>
    </row>
    <row r="32" spans="1:5" ht="13" customHeight="1">
      <c r="A32" s="660" t="s">
        <v>99</v>
      </c>
      <c r="B32" s="986">
        <f>109*(1+0.03)</f>
        <v>112.27</v>
      </c>
      <c r="C32" s="987">
        <v>109</v>
      </c>
      <c r="D32" s="661">
        <v>2.5000000000000001E-2</v>
      </c>
      <c r="E32" s="2786"/>
    </row>
    <row r="33" spans="1:11" ht="13" customHeight="1">
      <c r="A33" s="660" t="s">
        <v>100</v>
      </c>
      <c r="B33" s="986">
        <f>5*(1+0.03)</f>
        <v>5.15</v>
      </c>
      <c r="C33" s="987">
        <v>5</v>
      </c>
      <c r="D33" s="661">
        <v>2.5000000000000001E-2</v>
      </c>
      <c r="E33" s="2786"/>
    </row>
    <row r="34" spans="1:11" ht="13" customHeight="1">
      <c r="A34" s="660" t="s">
        <v>101</v>
      </c>
      <c r="B34" s="986">
        <f>8900*(1+0.03)</f>
        <v>9167</v>
      </c>
      <c r="C34" s="987">
        <v>8900</v>
      </c>
      <c r="D34" s="661">
        <v>2.5000000000000001E-2</v>
      </c>
      <c r="E34" s="2786"/>
    </row>
    <row r="35" spans="1:11" ht="13" customHeight="1">
      <c r="A35" s="660" t="s">
        <v>102</v>
      </c>
      <c r="B35" s="986">
        <f>261*(1+0.03)</f>
        <v>268.83</v>
      </c>
      <c r="C35" s="987">
        <v>261</v>
      </c>
      <c r="D35" s="661">
        <f>D32</f>
        <v>2.5000000000000001E-2</v>
      </c>
      <c r="E35" s="2786"/>
    </row>
    <row r="36" spans="1:11">
      <c r="A36" s="364" t="s">
        <v>1480</v>
      </c>
      <c r="B36" s="986">
        <v>40</v>
      </c>
      <c r="C36" s="987">
        <v>40</v>
      </c>
      <c r="D36" s="358" t="s">
        <v>103</v>
      </c>
      <c r="E36" s="2786"/>
    </row>
    <row r="37" spans="1:11">
      <c r="A37" s="354" t="s">
        <v>104</v>
      </c>
      <c r="B37" s="988">
        <v>7000</v>
      </c>
      <c r="C37" s="989">
        <v>7000</v>
      </c>
      <c r="D37" s="357" t="s">
        <v>105</v>
      </c>
      <c r="E37" s="2786"/>
      <c r="F37" s="174"/>
      <c r="G37" s="174"/>
      <c r="H37" s="174"/>
    </row>
    <row r="38" spans="1:11" ht="15">
      <c r="A38" s="354" t="s">
        <v>106</v>
      </c>
      <c r="B38" s="988">
        <v>12000</v>
      </c>
      <c r="C38" s="989">
        <v>12000</v>
      </c>
      <c r="D38" s="357" t="s">
        <v>107</v>
      </c>
      <c r="E38" s="275"/>
    </row>
    <row r="39" spans="1:11" ht="15">
      <c r="A39" s="354" t="s">
        <v>108</v>
      </c>
      <c r="B39" s="988">
        <v>18000</v>
      </c>
      <c r="C39" s="989">
        <v>18000</v>
      </c>
      <c r="D39" s="357" t="s">
        <v>109</v>
      </c>
      <c r="E39" s="275"/>
    </row>
    <row r="40" spans="1:11">
      <c r="A40" s="354" t="s">
        <v>110</v>
      </c>
      <c r="B40" s="988">
        <v>24000</v>
      </c>
      <c r="C40" s="989">
        <v>24000</v>
      </c>
      <c r="D40" s="357" t="s">
        <v>111</v>
      </c>
    </row>
    <row r="41" spans="1:11">
      <c r="A41" s="276" t="str">
        <f>"Faste udgifter i budgetåret "&amp;[0]!budgetår+1&amp;" fremskrives med %"</f>
        <v>Faste udgifter i budgetåret 2027 fremskrives med %</v>
      </c>
      <c r="B41" s="990">
        <v>1.4999999999999999E-2</v>
      </c>
      <c r="C41" s="991">
        <v>1.4999999999999999E-2</v>
      </c>
      <c r="D41" s="358" t="s">
        <v>112</v>
      </c>
      <c r="G41" s="174"/>
      <c r="H41" s="174"/>
      <c r="I41" s="174"/>
      <c r="J41" s="174"/>
      <c r="K41" s="174"/>
    </row>
    <row r="42" spans="1:11">
      <c r="A42" s="276" t="str">
        <f>"Lønudgifter i budgetåret "&amp;[0]!budgetår+1&amp;" fremskrives med %"</f>
        <v>Lønudgifter i budgetåret 2027 fremskrives med %</v>
      </c>
      <c r="B42" s="992">
        <v>1.4999999999999999E-2</v>
      </c>
      <c r="C42" s="993">
        <v>2.5000000000000001E-2</v>
      </c>
      <c r="D42" s="358"/>
      <c r="G42" s="174"/>
      <c r="H42" s="174"/>
      <c r="I42" s="174"/>
      <c r="J42" s="174"/>
      <c r="K42" s="174"/>
    </row>
    <row r="43" spans="1:11">
      <c r="A43" s="660" t="s">
        <v>1476</v>
      </c>
      <c r="B43" s="994">
        <v>0</v>
      </c>
      <c r="C43" s="993">
        <v>0</v>
      </c>
      <c r="D43" s="358" t="s">
        <v>113</v>
      </c>
      <c r="G43" s="174"/>
      <c r="H43" s="174"/>
      <c r="I43" s="174"/>
      <c r="J43" s="174"/>
      <c r="K43" s="174"/>
    </row>
    <row r="44" spans="1:11">
      <c r="A44" s="660" t="s">
        <v>1475</v>
      </c>
      <c r="B44" s="2427">
        <v>0</v>
      </c>
      <c r="C44" s="2428"/>
      <c r="D44" s="358"/>
      <c r="G44" s="174"/>
      <c r="H44" s="174"/>
      <c r="I44" s="174"/>
      <c r="J44" s="174"/>
      <c r="K44" s="174"/>
    </row>
    <row r="45" spans="1:11">
      <c r="A45" s="660" t="s">
        <v>1478</v>
      </c>
      <c r="B45" s="2427">
        <v>0</v>
      </c>
      <c r="C45" s="2428"/>
      <c r="D45" s="358"/>
      <c r="G45" s="174"/>
      <c r="H45" s="174"/>
      <c r="I45" s="174"/>
      <c r="J45" s="174"/>
      <c r="K45" s="174"/>
    </row>
    <row r="46" spans="1:11">
      <c r="A46" s="660" t="s">
        <v>1477</v>
      </c>
      <c r="B46" s="2427">
        <v>0</v>
      </c>
      <c r="C46" s="2428"/>
      <c r="D46" s="358"/>
      <c r="G46" s="174"/>
      <c r="H46" s="174"/>
      <c r="I46" s="174"/>
      <c r="J46" s="174"/>
      <c r="K46" s="174"/>
    </row>
    <row r="47" spans="1:11">
      <c r="A47" s="660" t="s">
        <v>1479</v>
      </c>
      <c r="B47" s="2427">
        <v>0</v>
      </c>
      <c r="C47" s="2428"/>
      <c r="D47" s="358"/>
      <c r="G47" s="174"/>
      <c r="H47" s="174"/>
      <c r="I47" s="174"/>
      <c r="J47" s="174"/>
      <c r="K47" s="174"/>
    </row>
    <row r="48" spans="1:11">
      <c r="A48" s="277"/>
      <c r="B48" s="995" t="str">
        <f>"skoleår "&amp;[0]!budgetår-0&amp;"/"&amp;[0]!budgetår+1</f>
        <v>skoleår 2026/2027</v>
      </c>
      <c r="C48" s="995" t="str">
        <f>"skoleår "&amp;[0]!budgetår-1&amp;"/"&amp;[0]!budgetår+0</f>
        <v>skoleår 2025/2026</v>
      </c>
      <c r="D48" s="179"/>
    </row>
    <row r="49" spans="1:7">
      <c r="A49" s="660" t="s">
        <v>1488</v>
      </c>
      <c r="B49" s="984">
        <v>230</v>
      </c>
      <c r="C49" s="985">
        <v>193</v>
      </c>
      <c r="D49" s="178" t="s">
        <v>114</v>
      </c>
    </row>
    <row r="50" spans="1:7" ht="14" thickBot="1">
      <c r="A50" s="677" t="s">
        <v>1489</v>
      </c>
      <c r="B50" s="996">
        <v>159</v>
      </c>
      <c r="C50" s="997">
        <v>149</v>
      </c>
      <c r="D50" s="178" t="s">
        <v>115</v>
      </c>
    </row>
    <row r="51" spans="1:7">
      <c r="A51" s="2787" t="s">
        <v>1466</v>
      </c>
      <c r="B51" s="2788"/>
      <c r="C51" s="2789"/>
      <c r="D51" s="182"/>
    </row>
    <row r="52" spans="1:7">
      <c r="A52" s="998" t="s">
        <v>116</v>
      </c>
      <c r="B52" s="2482">
        <v>132168</v>
      </c>
      <c r="C52" s="999">
        <v>131511</v>
      </c>
      <c r="D52" s="360"/>
    </row>
    <row r="53" spans="1:7">
      <c r="A53" s="998" t="s">
        <v>117</v>
      </c>
      <c r="B53" s="2482">
        <v>118952</v>
      </c>
      <c r="C53" s="999">
        <v>118360</v>
      </c>
      <c r="D53" s="360"/>
    </row>
    <row r="54" spans="1:7">
      <c r="A54" s="998" t="s">
        <v>118</v>
      </c>
      <c r="B54" s="2482">
        <v>105735</v>
      </c>
      <c r="C54" s="999">
        <v>78907</v>
      </c>
      <c r="D54" s="360"/>
    </row>
    <row r="55" spans="1:7" ht="14" thickBot="1">
      <c r="A55" s="1000" t="s">
        <v>119</v>
      </c>
      <c r="B55" s="2483">
        <v>43066</v>
      </c>
      <c r="C55" s="1001">
        <v>43233</v>
      </c>
      <c r="D55" s="360"/>
      <c r="E55" s="343"/>
      <c r="F55" s="343"/>
      <c r="G55" s="343"/>
    </row>
    <row r="56" spans="1:7">
      <c r="D56" s="319"/>
    </row>
    <row r="57" spans="1:7">
      <c r="A57" s="352"/>
      <c r="D57" s="319"/>
    </row>
    <row r="58" spans="1:7">
      <c r="A58" s="182"/>
      <c r="B58" s="505"/>
      <c r="D58" s="319"/>
    </row>
    <row r="59" spans="1:7">
      <c r="A59" s="182"/>
      <c r="B59" s="505"/>
      <c r="D59" s="319"/>
    </row>
    <row r="60" spans="1:7">
      <c r="A60" s="182"/>
      <c r="B60" s="505"/>
      <c r="D60" s="319"/>
    </row>
    <row r="61" spans="1:7">
      <c r="A61" s="182"/>
      <c r="B61" s="505"/>
      <c r="D61" s="319"/>
    </row>
    <row r="62" spans="1:7">
      <c r="A62" s="182"/>
      <c r="B62" s="505"/>
      <c r="D62" s="319"/>
    </row>
    <row r="63" spans="1:7">
      <c r="B63" s="506"/>
    </row>
  </sheetData>
  <sheetProtection sheet="1" formatCells="0" formatColumns="0" formatRows="0"/>
  <mergeCells count="3">
    <mergeCell ref="E28:E29"/>
    <mergeCell ref="E30:E37"/>
    <mergeCell ref="A51:C51"/>
  </mergeCells>
  <phoneticPr fontId="55" type="noConversion"/>
  <printOptions horizontalCentered="1" verticalCentered="1"/>
  <pageMargins left="0.39629921259842515" right="0.47314960629921266" top="0.58629921259842532" bottom="0.44629921259842514" header="0.51" footer="0.51"/>
  <pageSetup paperSize="9" scale="75" orientation="portrait" horizontalDpi="4294967292" verticalDpi="4294967292"/>
  <headerFooter alignWithMargins="0">
    <oddFooter>&amp;LFriskolernes Kontor&amp;CKursusmateriale 2010&amp;R&amp;A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1">
    <tabColor rgb="FF92D050"/>
    <pageSetUpPr fitToPage="1"/>
  </sheetPr>
  <dimension ref="B1:J46"/>
  <sheetViews>
    <sheetView showGridLines="0" tabSelected="1" topLeftCell="A5" zoomScale="140" zoomScaleNormal="100" workbookViewId="0">
      <selection activeCell="G12" sqref="G12"/>
    </sheetView>
  </sheetViews>
  <sheetFormatPr baseColWidth="10" defaultColWidth="11.5" defaultRowHeight="13"/>
  <cols>
    <col min="1" max="1" width="13.5" customWidth="1"/>
    <col min="2" max="2" width="6.83203125" customWidth="1"/>
    <col min="3" max="3" width="25.83203125" customWidth="1"/>
    <col min="4" max="4" width="13.5" customWidth="1"/>
    <col min="5" max="5" width="15.1640625" customWidth="1"/>
    <col min="6" max="6" width="13.5" customWidth="1"/>
    <col min="8" max="8" width="11.83203125" customWidth="1"/>
    <col min="9" max="9" width="6.5" customWidth="1"/>
  </cols>
  <sheetData>
    <row r="1" spans="2:10" ht="25.5" customHeight="1" thickBot="1">
      <c r="B1" s="900"/>
      <c r="C1" s="900"/>
      <c r="D1" s="900"/>
      <c r="E1" s="900"/>
      <c r="F1" s="900"/>
      <c r="G1" s="900"/>
    </row>
    <row r="2" spans="2:10" ht="77" customHeight="1">
      <c r="B2" s="2817" t="s">
        <v>120</v>
      </c>
      <c r="C2" s="2817"/>
      <c r="D2" s="2817"/>
      <c r="E2" s="2817"/>
      <c r="F2" s="2817"/>
      <c r="G2" s="2817"/>
    </row>
    <row r="3" spans="2:10" ht="18" customHeight="1">
      <c r="B3" s="81"/>
      <c r="C3" s="82" t="s">
        <v>121</v>
      </c>
      <c r="D3" s="81"/>
      <c r="E3" s="81"/>
      <c r="F3" s="83" t="str">
        <f>budgetår&amp;"/"&amp;budgetår+1</f>
        <v>2026/2027</v>
      </c>
      <c r="G3" s="83" t="str">
        <f>budgetår+1&amp;"/"&amp;budgetår+2</f>
        <v>2027/2028</v>
      </c>
    </row>
    <row r="4" spans="2:10" ht="36" customHeight="1" thickBot="1"/>
    <row r="5" spans="2:10" ht="55.5" customHeight="1">
      <c r="B5" s="2818" t="s">
        <v>1455</v>
      </c>
      <c r="C5" s="2819"/>
      <c r="D5" s="2819"/>
      <c r="E5" s="2819"/>
      <c r="F5" s="2819"/>
      <c r="G5" s="2820"/>
      <c r="H5" s="186"/>
      <c r="I5" s="186"/>
    </row>
    <row r="6" spans="2:10" ht="46" thickBot="1">
      <c r="B6" s="2814">
        <v>2026</v>
      </c>
      <c r="C6" s="2815"/>
      <c r="D6" s="2815"/>
      <c r="E6" s="2815"/>
      <c r="F6" s="2815"/>
      <c r="G6" s="2816"/>
      <c r="H6" s="283"/>
      <c r="I6" s="283"/>
      <c r="J6" s="186">
        <f>B6</f>
        <v>2026</v>
      </c>
    </row>
    <row r="7" spans="2:10" s="183" customFormat="1" ht="19" thickBot="1">
      <c r="B7" s="2811" t="s">
        <v>122</v>
      </c>
      <c r="C7" s="2812"/>
      <c r="D7" s="2812"/>
      <c r="E7" s="2812"/>
      <c r="F7" s="2813"/>
      <c r="G7" s="1002"/>
    </row>
    <row r="8" spans="2:10" s="183" customFormat="1" ht="18">
      <c r="B8" s="2821" t="str">
        <f>"Er skolen certificeret som profilskole i "&amp;budgetår-1&amp;"?"</f>
        <v>Er skolen certificeret som profilskole i 2025?</v>
      </c>
      <c r="C8" s="2822"/>
      <c r="D8" s="2822"/>
      <c r="E8" s="2822"/>
      <c r="F8" s="2823"/>
      <c r="G8" s="2809"/>
      <c r="H8" s="282" t="s">
        <v>123</v>
      </c>
      <c r="I8" s="282" t="s">
        <v>124</v>
      </c>
    </row>
    <row r="9" spans="2:10" ht="29" customHeight="1" thickBot="1">
      <c r="B9" s="2806" t="s">
        <v>125</v>
      </c>
      <c r="C9" s="2807"/>
      <c r="D9" s="2807"/>
      <c r="E9" s="2807"/>
      <c r="F9" s="2808"/>
      <c r="G9" s="2810"/>
      <c r="I9" s="186"/>
    </row>
    <row r="10" spans="2:10" s="183" customFormat="1" ht="18">
      <c r="B10" s="2821" t="str">
        <f>"Er skolen certificeret som profilskole i "&amp;budgetår&amp;"?"</f>
        <v>Er skolen certificeret som profilskole i 2026?</v>
      </c>
      <c r="C10" s="2822"/>
      <c r="D10" s="2822"/>
      <c r="E10" s="2822"/>
      <c r="F10" s="2823"/>
      <c r="G10" s="2809"/>
      <c r="H10" s="282" t="s">
        <v>123</v>
      </c>
      <c r="I10" s="282" t="s">
        <v>123</v>
      </c>
    </row>
    <row r="11" spans="2:10" ht="29" customHeight="1" thickBot="1">
      <c r="B11" s="2806" t="s">
        <v>125</v>
      </c>
      <c r="C11" s="2807"/>
      <c r="D11" s="2807"/>
      <c r="E11" s="2807"/>
      <c r="F11" s="2808"/>
      <c r="G11" s="2810"/>
      <c r="I11" s="186"/>
    </row>
    <row r="12" spans="2:10" ht="19" thickBot="1">
      <c r="B12" s="2811" t="s">
        <v>126</v>
      </c>
      <c r="C12" s="2812"/>
      <c r="D12" s="2812"/>
      <c r="E12" s="2812"/>
      <c r="F12" s="2813"/>
      <c r="G12" s="846"/>
    </row>
    <row r="15" spans="2:10" ht="14" thickBot="1"/>
    <row r="16" spans="2:10" ht="21" thickBot="1">
      <c r="C16" s="80" t="s">
        <v>127</v>
      </c>
      <c r="E16" s="184" t="s">
        <v>128</v>
      </c>
    </row>
    <row r="17" spans="2:7">
      <c r="B17" s="2794" t="s">
        <v>129</v>
      </c>
      <c r="C17" s="2795"/>
      <c r="D17" s="1003" t="str">
        <f>budgetår-2&amp;"/"&amp;budgetår-1</f>
        <v>2024/2025</v>
      </c>
      <c r="E17" s="1004" t="str">
        <f>budgetår-1&amp;"/"&amp;budgetår</f>
        <v>2025/2026</v>
      </c>
      <c r="F17" s="1004" t="str">
        <f>budgetår&amp;"/"&amp;budgetår+1</f>
        <v>2026/2027</v>
      </c>
      <c r="G17" s="1005" t="str">
        <f>budgetår+1&amp;"/"&amp;budgetår+2</f>
        <v>2027/2028</v>
      </c>
    </row>
    <row r="18" spans="2:7" ht="13" customHeight="1">
      <c r="B18" s="2796"/>
      <c r="C18" s="2797"/>
      <c r="D18" s="1006" t="s">
        <v>130</v>
      </c>
      <c r="E18" s="1007" t="s">
        <v>130</v>
      </c>
      <c r="F18" s="1007" t="s">
        <v>130</v>
      </c>
      <c r="G18" s="1008" t="s">
        <v>130</v>
      </c>
    </row>
    <row r="19" spans="2:7" ht="28">
      <c r="B19" s="2798"/>
      <c r="C19" s="2799"/>
      <c r="D19" s="1009" t="str">
        <f>"sep.
"&amp;budgetår-2</f>
        <v>sep.
2024</v>
      </c>
      <c r="E19" s="1010" t="str">
        <f>"sep.
"&amp;budgetår-1</f>
        <v>sep.
2025</v>
      </c>
      <c r="F19" s="1010" t="str">
        <f>"sep.
"&amp;budgetår</f>
        <v>sep.
2026</v>
      </c>
      <c r="G19" s="1011" t="str">
        <f>"sep.
"&amp;budgetår+1</f>
        <v>sep.
2027</v>
      </c>
    </row>
    <row r="20" spans="2:7" ht="16">
      <c r="B20" s="2804" t="s">
        <v>131</v>
      </c>
      <c r="C20" s="2805"/>
      <c r="D20" s="1012"/>
      <c r="E20" s="1012"/>
      <c r="F20" s="1013"/>
      <c r="G20" s="1014"/>
    </row>
    <row r="21" spans="2:7" ht="16">
      <c r="B21" s="2804" t="s">
        <v>132</v>
      </c>
      <c r="C21" s="2805"/>
      <c r="D21" s="278"/>
      <c r="E21" s="278"/>
      <c r="F21" s="278"/>
      <c r="G21" s="760"/>
    </row>
    <row r="22" spans="2:7" ht="16">
      <c r="B22" s="2804" t="s">
        <v>133</v>
      </c>
      <c r="C22" s="2805"/>
      <c r="D22" s="278"/>
      <c r="E22" s="278"/>
      <c r="F22" s="278"/>
      <c r="G22" s="760"/>
    </row>
    <row r="23" spans="2:7" ht="16">
      <c r="B23" s="2804" t="s">
        <v>134</v>
      </c>
      <c r="C23" s="2805"/>
      <c r="D23" s="278"/>
      <c r="E23" s="278"/>
      <c r="F23" s="278"/>
      <c r="G23" s="760"/>
    </row>
    <row r="24" spans="2:7" ht="16">
      <c r="B24" s="2804" t="s">
        <v>135</v>
      </c>
      <c r="C24" s="2805"/>
      <c r="D24" s="278"/>
      <c r="E24" s="278"/>
      <c r="F24" s="278"/>
      <c r="G24" s="760"/>
    </row>
    <row r="25" spans="2:7" ht="16">
      <c r="B25" s="2804" t="s">
        <v>136</v>
      </c>
      <c r="C25" s="2805"/>
      <c r="D25" s="278"/>
      <c r="E25" s="278"/>
      <c r="F25" s="278"/>
      <c r="G25" s="760"/>
    </row>
    <row r="26" spans="2:7" ht="16">
      <c r="B26" s="2804" t="s">
        <v>137</v>
      </c>
      <c r="C26" s="2805"/>
      <c r="D26" s="278"/>
      <c r="E26" s="278"/>
      <c r="F26" s="278"/>
      <c r="G26" s="760"/>
    </row>
    <row r="27" spans="2:7" ht="16">
      <c r="B27" s="2804" t="s">
        <v>138</v>
      </c>
      <c r="C27" s="2805"/>
      <c r="D27" s="489"/>
      <c r="E27" s="489"/>
      <c r="F27" s="278"/>
      <c r="G27" s="760"/>
    </row>
    <row r="28" spans="2:7" ht="16">
      <c r="B28" s="2804" t="s">
        <v>139</v>
      </c>
      <c r="C28" s="2805"/>
      <c r="D28" s="489"/>
      <c r="E28" s="489"/>
      <c r="F28" s="278"/>
      <c r="G28" s="760"/>
    </row>
    <row r="29" spans="2:7" ht="16">
      <c r="B29" s="2804" t="s">
        <v>140</v>
      </c>
      <c r="C29" s="2805"/>
      <c r="D29" s="489"/>
      <c r="E29" s="489"/>
      <c r="F29" s="278"/>
      <c r="G29" s="760"/>
    </row>
    <row r="30" spans="2:7" ht="16">
      <c r="B30" s="2804" t="s">
        <v>141</v>
      </c>
      <c r="C30" s="2805"/>
      <c r="D30" s="295"/>
      <c r="E30" s="278"/>
      <c r="F30" s="278"/>
      <c r="G30" s="760"/>
    </row>
    <row r="31" spans="2:7" ht="16">
      <c r="B31" s="2800" t="s">
        <v>142</v>
      </c>
      <c r="C31" s="2801"/>
      <c r="D31" s="296">
        <f>SUM(D20:D30)</f>
        <v>0</v>
      </c>
      <c r="E31" s="293">
        <f>SUM(E20:E30)</f>
        <v>0</v>
      </c>
      <c r="F31" s="293">
        <f>SUM(F20:F30)</f>
        <v>0</v>
      </c>
      <c r="G31" s="759">
        <f>SUM(G20:G30)</f>
        <v>0</v>
      </c>
    </row>
    <row r="32" spans="2:7" ht="16">
      <c r="B32" s="2800" t="s">
        <v>143</v>
      </c>
      <c r="C32" s="2801"/>
      <c r="D32" s="297">
        <f>+D31-D33-D34</f>
        <v>0</v>
      </c>
      <c r="E32" s="298">
        <f>+E31-E33-E34</f>
        <v>0</v>
      </c>
      <c r="F32" s="298">
        <f>+F31-F33-F34</f>
        <v>0</v>
      </c>
      <c r="G32" s="761">
        <f>+G31-G33-G34</f>
        <v>0</v>
      </c>
    </row>
    <row r="33" spans="2:7" ht="16">
      <c r="B33" s="2800" t="s">
        <v>144</v>
      </c>
      <c r="C33" s="2801"/>
      <c r="D33" s="295"/>
      <c r="E33" s="299"/>
      <c r="F33" s="299"/>
      <c r="G33" s="762"/>
    </row>
    <row r="34" spans="2:7" ht="16">
      <c r="B34" s="2800" t="s">
        <v>145</v>
      </c>
      <c r="C34" s="2801"/>
      <c r="D34" s="300">
        <f>+D30</f>
        <v>0</v>
      </c>
      <c r="E34" s="301">
        <f>E30</f>
        <v>0</v>
      </c>
      <c r="F34" s="293">
        <f>F30</f>
        <v>0</v>
      </c>
      <c r="G34" s="759">
        <f>+G30</f>
        <v>0</v>
      </c>
    </row>
    <row r="35" spans="2:7" ht="16">
      <c r="B35" s="2800" t="s">
        <v>146</v>
      </c>
      <c r="C35" s="2801"/>
      <c r="D35" s="294"/>
      <c r="E35" s="278"/>
      <c r="F35" s="278"/>
      <c r="G35" s="760"/>
    </row>
    <row r="36" spans="2:7" ht="18" customHeight="1">
      <c r="B36" s="2802" t="s">
        <v>147</v>
      </c>
      <c r="C36" s="2803"/>
      <c r="D36" s="281"/>
      <c r="E36" s="281"/>
      <c r="F36" s="302"/>
      <c r="G36" s="763"/>
    </row>
    <row r="37" spans="2:7" ht="16">
      <c r="B37" s="2800" t="s">
        <v>148</v>
      </c>
      <c r="C37" s="2801"/>
      <c r="D37" s="297">
        <f>SUM(D20:D23)</f>
        <v>0</v>
      </c>
      <c r="E37" s="298">
        <f>SUM(E20:E23)</f>
        <v>0</v>
      </c>
      <c r="F37" s="298">
        <f>SUM(F20:F23)</f>
        <v>0</v>
      </c>
      <c r="G37" s="761">
        <f>SUM(G20:G23)</f>
        <v>0</v>
      </c>
    </row>
    <row r="38" spans="2:7" ht="16">
      <c r="B38" s="2790" t="s">
        <v>149</v>
      </c>
      <c r="C38" s="2791"/>
      <c r="D38" s="295"/>
      <c r="E38" s="489"/>
      <c r="F38" s="490"/>
      <c r="G38" s="491"/>
    </row>
    <row r="39" spans="2:7" ht="17" thickBot="1">
      <c r="B39" s="2792" t="s">
        <v>150</v>
      </c>
      <c r="C39" s="2793"/>
      <c r="D39" s="303"/>
      <c r="E39" s="304"/>
      <c r="F39" s="329"/>
      <c r="G39" s="305"/>
    </row>
    <row r="41" spans="2:7">
      <c r="B41" s="343"/>
      <c r="C41" s="343"/>
      <c r="D41" s="343"/>
      <c r="E41" s="343"/>
      <c r="F41" s="343"/>
      <c r="G41" s="343"/>
    </row>
    <row r="42" spans="2:7">
      <c r="B42" s="343"/>
      <c r="C42" s="343"/>
      <c r="D42" s="348">
        <f>IF(elevtal_1&lt;=100,4260,"0")</f>
        <v>4260</v>
      </c>
      <c r="E42" s="349" t="str">
        <f>IF(AND(elevtal_1&gt;=101,elevtal_1&lt;=200),5320,"0")</f>
        <v>0</v>
      </c>
      <c r="F42" s="186" t="str">
        <f>IF(AND(elevtal_1&gt;=301,elevtal_1&lt;=400),7460,"0")</f>
        <v>0</v>
      </c>
      <c r="G42" s="348" t="str">
        <f>IF(elevtal_1&gt;400,"8530","0")</f>
        <v>0</v>
      </c>
    </row>
    <row r="43" spans="2:7">
      <c r="B43" s="343"/>
      <c r="C43" s="343"/>
      <c r="D43" s="343"/>
      <c r="E43" s="343"/>
      <c r="F43" s="343"/>
      <c r="G43" s="343"/>
    </row>
    <row r="44" spans="2:7">
      <c r="B44" s="343"/>
      <c r="C44" s="343"/>
      <c r="D44" s="343"/>
      <c r="E44" s="343"/>
      <c r="F44" s="343"/>
      <c r="G44" s="343"/>
    </row>
    <row r="45" spans="2:7">
      <c r="B45" s="343"/>
      <c r="C45" s="343"/>
      <c r="D45" s="343"/>
      <c r="E45" s="343"/>
      <c r="F45" s="343"/>
      <c r="G45" s="343"/>
    </row>
    <row r="46" spans="2:7">
      <c r="B46" s="343"/>
      <c r="C46" s="343"/>
      <c r="D46" s="343"/>
      <c r="E46" s="343"/>
      <c r="F46" s="343"/>
      <c r="G46" s="343"/>
    </row>
  </sheetData>
  <sheetProtection sheet="1" formatCells="0" formatColumns="0" formatRows="0" selectLockedCells="1"/>
  <mergeCells count="32">
    <mergeCell ref="B9:F9"/>
    <mergeCell ref="G8:G9"/>
    <mergeCell ref="B12:F12"/>
    <mergeCell ref="B6:G6"/>
    <mergeCell ref="B2:G2"/>
    <mergeCell ref="B5:G5"/>
    <mergeCell ref="B7:F7"/>
    <mergeCell ref="B8:F8"/>
    <mergeCell ref="B10:F10"/>
    <mergeCell ref="G10:G11"/>
    <mergeCell ref="B11:F11"/>
    <mergeCell ref="B26:C26"/>
    <mergeCell ref="B27:C27"/>
    <mergeCell ref="B20:C20"/>
    <mergeCell ref="B21:C21"/>
    <mergeCell ref="B22:C22"/>
    <mergeCell ref="B38:C38"/>
    <mergeCell ref="B39:C39"/>
    <mergeCell ref="B17:C19"/>
    <mergeCell ref="B33:C33"/>
    <mergeCell ref="B34:C34"/>
    <mergeCell ref="B35:C35"/>
    <mergeCell ref="B36:C36"/>
    <mergeCell ref="B37:C37"/>
    <mergeCell ref="B28:C28"/>
    <mergeCell ref="B29:C29"/>
    <mergeCell ref="B30:C30"/>
    <mergeCell ref="B31:C31"/>
    <mergeCell ref="B32:C32"/>
    <mergeCell ref="B23:C23"/>
    <mergeCell ref="B24:C24"/>
    <mergeCell ref="B25:C25"/>
  </mergeCells>
  <phoneticPr fontId="55" type="noConversion"/>
  <dataValidations count="1">
    <dataValidation type="list" allowBlank="1" showInputMessage="1" showErrorMessage="1" sqref="G8:G11" xr:uid="{00000000-0002-0000-0200-000000000000}">
      <formula1>$H$8:$H$9</formula1>
    </dataValidation>
  </dataValidations>
  <printOptions horizontalCentered="1" verticalCentered="1"/>
  <pageMargins left="0.69" right="0.67" top="0.98" bottom="0.83" header="0.51" footer="0.51"/>
  <pageSetup paperSize="9" scale="81" orientation="portrait"/>
  <headerFooter scaleWithDoc="0" alignWithMargins="0">
    <oddFooter xml:space="preserve">&amp;L&amp;G&amp;R
&amp;D
&amp;A
</oddFooter>
  </headerFooter>
  <drawing r:id="rId1"/>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2">
    <tabColor rgb="FF00B0F0"/>
  </sheetPr>
  <dimension ref="A1:AC137"/>
  <sheetViews>
    <sheetView zoomScale="165" zoomScaleNormal="100" workbookViewId="0">
      <pane ySplit="1" topLeftCell="A2" activePane="bottomLeft" state="frozen"/>
      <selection pane="bottomLeft"/>
    </sheetView>
  </sheetViews>
  <sheetFormatPr baseColWidth="10" defaultColWidth="11.5" defaultRowHeight="13"/>
  <cols>
    <col min="1" max="1" width="2.5" customWidth="1"/>
    <col min="2" max="2" width="11.1640625" style="2" customWidth="1"/>
    <col min="3" max="3" width="60.83203125" style="5" customWidth="1"/>
    <col min="4" max="4" width="13.5" style="5" customWidth="1"/>
    <col min="5" max="5" width="14.83203125" style="5" customWidth="1"/>
    <col min="6" max="6" width="13.5" style="5" customWidth="1"/>
    <col min="7" max="7" width="13" style="5" customWidth="1"/>
    <col min="8" max="8" width="14.5" customWidth="1"/>
    <col min="9" max="9" width="8.83203125" customWidth="1"/>
    <col min="10" max="10" width="14.83203125" customWidth="1"/>
    <col min="11" max="11" width="8.83203125" customWidth="1"/>
    <col min="12" max="12" width="3.1640625" customWidth="1"/>
  </cols>
  <sheetData>
    <row r="1" spans="1:29" s="98" customFormat="1" ht="26.25" customHeight="1" thickBot="1">
      <c r="A1" s="900"/>
      <c r="B1" s="900"/>
      <c r="C1" s="2844"/>
      <c r="D1" s="2844"/>
      <c r="E1" s="2844"/>
      <c r="F1" s="2845"/>
      <c r="G1" s="5"/>
      <c r="H1" s="1015"/>
      <c r="I1"/>
      <c r="J1"/>
      <c r="K1"/>
      <c r="L1"/>
      <c r="M1"/>
      <c r="N1"/>
      <c r="O1"/>
      <c r="P1"/>
      <c r="Q1"/>
      <c r="R1"/>
      <c r="S1"/>
      <c r="T1"/>
      <c r="U1"/>
      <c r="V1"/>
      <c r="W1"/>
      <c r="X1"/>
      <c r="Y1"/>
      <c r="Z1"/>
      <c r="AA1"/>
      <c r="AB1"/>
      <c r="AC1"/>
    </row>
    <row r="2" spans="1:29" ht="49" customHeight="1" thickTop="1">
      <c r="A2" s="2856" t="s">
        <v>155</v>
      </c>
      <c r="B2" s="2857"/>
      <c r="C2" s="2824" t="s">
        <v>151</v>
      </c>
      <c r="D2" s="2490" t="str">
        <f>"Regnskab "&amp;budgetår-2</f>
        <v>Regnskab 2024</v>
      </c>
      <c r="E2" s="2564" t="str">
        <f>"Regnskab "&amp;budgetår-1</f>
        <v>Regnskab 2025</v>
      </c>
      <c r="F2" s="2854" t="str">
        <f>"BUDGET "&amp;budgetår</f>
        <v>BUDGET 2026</v>
      </c>
      <c r="G2" s="2574" t="str">
        <f>"BUDGET "&amp;budgetår+1</f>
        <v>BUDGET 2027</v>
      </c>
      <c r="H2" s="2568" t="str">
        <f>"Budget "&amp;Forside!B5</f>
        <v>Budget Min egen skole</v>
      </c>
      <c r="I2" s="764"/>
    </row>
    <row r="3" spans="1:29" ht="57" thickBot="1">
      <c r="A3" s="2858"/>
      <c r="B3" s="2859"/>
      <c r="C3" s="2825"/>
      <c r="D3" s="2491" t="s">
        <v>153</v>
      </c>
      <c r="E3" s="2565" t="s">
        <v>154</v>
      </c>
      <c r="F3" s="2855"/>
      <c r="G3" s="2575" t="str">
        <f>budgetår+1&amp;""&amp;"("&amp;budgetår&amp;"+"&amp;fremskrivning*100&amp;"%)"</f>
        <v>2027(2026+1,5%)</v>
      </c>
      <c r="H3" s="2569" t="str">
        <f>F2&amp;" /elev "</f>
        <v xml:space="preserve">BUDGET 2026 /elev </v>
      </c>
    </row>
    <row r="4" spans="1:29" ht="15" customHeight="1">
      <c r="A4" s="2858"/>
      <c r="B4" s="2859"/>
      <c r="C4" s="2485" t="s">
        <v>156</v>
      </c>
      <c r="D4" s="2492"/>
      <c r="E4" s="2566">
        <f>elevtal_1</f>
        <v>0</v>
      </c>
      <c r="F4" s="2576">
        <f>Elevtal</f>
        <v>0</v>
      </c>
      <c r="G4" s="2576">
        <f>elevtal_2</f>
        <v>0</v>
      </c>
      <c r="H4" s="2570"/>
    </row>
    <row r="5" spans="1:29" ht="14">
      <c r="A5" s="2858"/>
      <c r="B5" s="2859"/>
      <c r="C5" s="2486" t="s">
        <v>157</v>
      </c>
      <c r="D5" s="2492"/>
      <c r="E5" s="2567">
        <f>ROUND((D4*7/12)+(E4*5/12),2)</f>
        <v>0</v>
      </c>
      <c r="F5" s="2577">
        <f>ROUND((E4*7/12)+(F4*5/12),2)</f>
        <v>0</v>
      </c>
      <c r="G5" s="2577">
        <f>ROUND((F4*7/12)+(G4*5/12),2)</f>
        <v>0</v>
      </c>
      <c r="H5" s="2571">
        <f>ROUND(((E4*7)+(F4*5))/12,2)</f>
        <v>0</v>
      </c>
    </row>
    <row r="6" spans="1:29" ht="14" customHeight="1">
      <c r="A6" s="2858"/>
      <c r="B6" s="2859"/>
      <c r="C6" s="2486" t="s">
        <v>158</v>
      </c>
      <c r="D6" s="2492"/>
      <c r="E6" s="2566">
        <f>Forside!E38</f>
        <v>0</v>
      </c>
      <c r="F6" s="2578">
        <f>Forside!F38</f>
        <v>0</v>
      </c>
      <c r="G6" s="2579">
        <f>IF(Forside!G38=0,0,Forside!G38)</f>
        <v>0</v>
      </c>
      <c r="H6" s="2571" t="str">
        <f>"pr. / elev "</f>
        <v xml:space="preserve">pr. / elev </v>
      </c>
    </row>
    <row r="7" spans="1:29" ht="14" customHeight="1">
      <c r="A7" s="2858"/>
      <c r="B7" s="2859"/>
      <c r="C7" s="2487" t="s">
        <v>159</v>
      </c>
      <c r="D7" s="2492"/>
      <c r="E7" s="284"/>
      <c r="F7" s="2580">
        <f>IF('Heltids SFO'!M12&gt;0,'Heltids SFO'!O10,0)</f>
        <v>0</v>
      </c>
      <c r="G7" s="2581"/>
      <c r="H7" s="2572"/>
    </row>
    <row r="8" spans="1:29" ht="14">
      <c r="A8" s="2858"/>
      <c r="B8" s="2859"/>
      <c r="C8" s="2488" t="s">
        <v>160</v>
      </c>
      <c r="D8" s="2492"/>
      <c r="E8" s="284"/>
      <c r="F8" s="2582">
        <f>IF(Daginstitution!E3&gt;0,Daginstitution!Q115,0)</f>
        <v>0</v>
      </c>
      <c r="G8" s="2583"/>
      <c r="H8" s="2572"/>
    </row>
    <row r="9" spans="1:29" ht="15" thickBot="1">
      <c r="A9" s="2858"/>
      <c r="B9" s="2859"/>
      <c r="C9" s="2489" t="s">
        <v>161</v>
      </c>
      <c r="D9" s="2492"/>
      <c r="E9" s="284"/>
      <c r="F9" s="2584">
        <f>IF(Daginstitution!E56&gt;0,Daginstitution!Q116,0)</f>
        <v>0</v>
      </c>
      <c r="G9" s="2585"/>
      <c r="H9" s="2573"/>
    </row>
    <row r="10" spans="1:29" ht="14" thickBot="1">
      <c r="A10" s="765"/>
      <c r="B10" s="60"/>
      <c r="C10" s="766"/>
      <c r="D10" s="61"/>
      <c r="E10" s="61"/>
      <c r="F10" s="61">
        <f>SUM(F8:F9)</f>
        <v>0</v>
      </c>
      <c r="G10" s="61">
        <f>SUM(G8:G9)</f>
        <v>0</v>
      </c>
      <c r="H10" s="767"/>
    </row>
    <row r="11" spans="1:29" s="331" customFormat="1" ht="14" thickBot="1">
      <c r="A11" s="1016"/>
      <c r="B11" s="1017"/>
      <c r="C11" s="2850" t="s">
        <v>162</v>
      </c>
      <c r="D11" s="2851"/>
      <c r="E11" s="2851"/>
      <c r="F11" s="2852"/>
      <c r="G11" s="2852"/>
      <c r="H11" s="2853"/>
    </row>
    <row r="12" spans="1:29" ht="17" customHeight="1" thickTop="1">
      <c r="A12" s="332"/>
      <c r="B12" s="84"/>
      <c r="C12" s="2493" t="s">
        <v>163</v>
      </c>
      <c r="D12" s="2495"/>
      <c r="E12" s="656"/>
      <c r="F12" s="2588">
        <f>Statstilskud!K45</f>
        <v>0</v>
      </c>
      <c r="G12" s="2589">
        <f>Statstilskud!K108</f>
        <v>0</v>
      </c>
      <c r="H12" s="2586">
        <f t="shared" ref="H12:H65" si="0">IF($F$4=0,0,F12/((($E$4*7)+($F$4*5))/12))</f>
        <v>0</v>
      </c>
    </row>
    <row r="13" spans="1:29" ht="14" thickBot="1">
      <c r="A13" s="332"/>
      <c r="B13" s="84"/>
      <c r="C13" s="2494" t="s">
        <v>164</v>
      </c>
      <c r="D13" s="2496"/>
      <c r="E13" s="656"/>
      <c r="F13" s="2590">
        <f>Statstilskud!K65</f>
        <v>135843</v>
      </c>
      <c r="G13" s="2590">
        <f>Statstilskud!K129</f>
        <v>135843</v>
      </c>
      <c r="H13" s="2587">
        <f t="shared" si="0"/>
        <v>0</v>
      </c>
    </row>
    <row r="14" spans="1:29" ht="14" thickBot="1">
      <c r="A14" s="332"/>
      <c r="B14" s="84"/>
      <c r="C14" s="2830" t="s">
        <v>165</v>
      </c>
      <c r="D14" s="2831"/>
      <c r="E14" s="2831"/>
      <c r="F14" s="2832"/>
      <c r="G14" s="2832"/>
      <c r="H14" s="2833"/>
    </row>
    <row r="15" spans="1:29" ht="14" thickTop="1">
      <c r="A15" s="2840"/>
      <c r="B15" s="2841"/>
      <c r="C15" s="2497" t="s">
        <v>166</v>
      </c>
      <c r="D15" s="2495"/>
      <c r="E15" s="2501"/>
      <c r="F15" s="2595">
        <f>IF('Skolepenge, pasningsordning.'!G16=0,0,'Skolepenge, pasningsordning.'!I35)</f>
        <v>0</v>
      </c>
      <c r="G15" s="2596" t="str">
        <f>IF(G4=0,"0",(('Skolepenge, pasningsordning.'!G31/'Skolepenge, pasningsordning.'!I18*'Skolepenge, pasningsordning.'!I3)+'Skolepenge, pasningsordning.'!G31/Hovedskema!F4*Hovedskema!G4+'Skolepenge, pasningsordning.'!I34+'Skolepenge, pasningsordning.'!I32))</f>
        <v>0</v>
      </c>
      <c r="H15" s="2591">
        <f t="shared" si="0"/>
        <v>0</v>
      </c>
    </row>
    <row r="16" spans="1:29">
      <c r="A16" s="2840"/>
      <c r="B16" s="2841"/>
      <c r="C16" s="2498" t="s">
        <v>167</v>
      </c>
      <c r="D16" s="2505"/>
      <c r="E16" s="2502"/>
      <c r="F16" s="2597" t="str">
        <f>IF(F6=0,"0",'Skolepenge, pasningsordning.'!I70)</f>
        <v>0</v>
      </c>
      <c r="G16" s="2597">
        <f>IF(G6=0,"0",('Skolepenge, pasningsordning.'!G66/'Skolepenge, pasningsordning.'!I53*'Skolepenge, pasningsordning.'!I38)+'Skolepenge, pasningsordning.'!G66/Forside!F38*Forside!G38)+'Skolepenge, pasningsordning.'!I69+'Skolepenge, pasningsordning.'!I67</f>
        <v>0</v>
      </c>
      <c r="H16" s="2592">
        <f>IF($F$6=0,0,F16/((($E$6*7)+($F$6*5))/12))</f>
        <v>0</v>
      </c>
    </row>
    <row r="17" spans="1:13">
      <c r="A17" s="317"/>
      <c r="B17" s="84"/>
      <c r="C17" s="2499" t="s">
        <v>168</v>
      </c>
      <c r="D17" s="2505"/>
      <c r="E17" s="2502"/>
      <c r="F17" s="2598">
        <f>'Skolepenge, pasningsordning.'!I94</f>
        <v>0</v>
      </c>
      <c r="G17" s="2597" t="str">
        <f>IF(Forside!G39=0,"0",'Skolepenge, pasningsordning.'!G93/'Skolepenge, pasningsordning.'!I84*'Skolepenge, pasningsordning.'!I73+('Skolepenge, pasningsordning.'!G93/'Skolepenge, pasningsordning.'!E93*Forside!G39))</f>
        <v>0</v>
      </c>
      <c r="H17" s="2592">
        <f>IF(Forside!E39=0,0,F17/(((Forside!E39*7)+(Forside!F39*5))/12))</f>
        <v>0</v>
      </c>
    </row>
    <row r="18" spans="1:13" ht="16" customHeight="1">
      <c r="A18" s="2840"/>
      <c r="B18" s="2841"/>
      <c r="C18" s="2499" t="s">
        <v>169</v>
      </c>
      <c r="D18" s="2506"/>
      <c r="E18" s="2503"/>
      <c r="F18" s="2599" t="str">
        <f>IF(F8=0,"0",Daginstitution!S37+Daginstitution!S45)</f>
        <v>0</v>
      </c>
      <c r="G18" s="2599">
        <f>IF(G8=0,"0",(F18/Daginstitution!E3*Daginstitution!E4)/Hovedskema!F8*Hovedskema!G8)*(1+SatsBilag!B46)</f>
        <v>0</v>
      </c>
      <c r="H18" s="2593" t="str">
        <f>IF(F8=0,"0",F18/Daginstitution!E3*Daginstitution!E4/Hovedskema!F8)</f>
        <v>0</v>
      </c>
      <c r="M18" s="10"/>
    </row>
    <row r="19" spans="1:13" ht="16" customHeight="1">
      <c r="A19" s="317"/>
      <c r="B19" s="84"/>
      <c r="C19" s="2498" t="s">
        <v>170</v>
      </c>
      <c r="D19" s="2506"/>
      <c r="E19" s="2503"/>
      <c r="F19" s="2599" t="str">
        <f>IF(F9=0,"0",Daginstitution!S90+Daginstitution!S98)</f>
        <v>0</v>
      </c>
      <c r="G19" s="2599">
        <f>IF(G9=0,"0",(F19/Daginstitution!E56*Daginstitution!E57)/Hovedskema!F9*Hovedskema!G9)*(1+SatsBilag!B47)</f>
        <v>0</v>
      </c>
      <c r="H19" s="2593" t="str">
        <f>IF(F9=0,"0",F19/Daginstitution!E56*Daginstitution!E57/Hovedskema!F9)</f>
        <v>0</v>
      </c>
      <c r="M19" s="10"/>
    </row>
    <row r="20" spans="1:13" ht="16" customHeight="1">
      <c r="A20" s="317"/>
      <c r="B20" s="84"/>
      <c r="C20" s="2498" t="s">
        <v>171</v>
      </c>
      <c r="D20" s="2506"/>
      <c r="E20" s="2503"/>
      <c r="F20" s="2600">
        <f>'Heltids SFO'!M12+'Heltids SFO'!M20</f>
        <v>0</v>
      </c>
      <c r="G20" s="2601">
        <f>IF(F20&gt;0,F20/F7*G7,0)</f>
        <v>0</v>
      </c>
      <c r="H20" s="2593">
        <f>IF(F20&gt;0,F20/F7,0)</f>
        <v>0</v>
      </c>
      <c r="I20" s="341"/>
      <c r="M20" s="10"/>
    </row>
    <row r="21" spans="1:13" ht="16" customHeight="1" thickBot="1">
      <c r="A21" s="317"/>
      <c r="B21" s="84"/>
      <c r="C21" s="2500" t="s">
        <v>172</v>
      </c>
      <c r="D21" s="2507"/>
      <c r="E21" s="2504"/>
      <c r="F21" s="2602">
        <f>'Skolepenge, pasningsordning.'!H111-'Skolepenge, pasningsordning.'!H100-'Skolepenge, pasningsordning.'!H101-'Skolepenge, pasningsordning.'!H102</f>
        <v>0</v>
      </c>
      <c r="G21" s="2603">
        <f>'Skolepenge, pasningsordning.'!I111-'Skolepenge, pasningsordning.'!I100-'Skolepenge, pasningsordning.'!I101-'Skolepenge, pasningsordning.'!I102</f>
        <v>0</v>
      </c>
      <c r="H21" s="2594">
        <f t="shared" si="0"/>
        <v>0</v>
      </c>
      <c r="I21" s="343"/>
      <c r="M21" s="10"/>
    </row>
    <row r="22" spans="1:13" ht="16" customHeight="1" thickBot="1">
      <c r="A22" s="317"/>
      <c r="B22" s="84"/>
      <c r="C22" s="2826" t="s">
        <v>173</v>
      </c>
      <c r="D22" s="2834"/>
      <c r="E22" s="2834"/>
      <c r="F22" s="2835"/>
      <c r="G22" s="2835"/>
      <c r="H22" s="2829"/>
      <c r="M22" s="10"/>
    </row>
    <row r="23" spans="1:13" ht="16" customHeight="1" thickTop="1">
      <c r="A23" s="317"/>
      <c r="B23" s="84"/>
      <c r="C23" s="2508" t="s">
        <v>174</v>
      </c>
      <c r="D23" s="2515"/>
      <c r="E23" s="2512"/>
      <c r="F23" s="2607">
        <f>'Skolepenge, pasningsordning.'!H121</f>
        <v>0</v>
      </c>
      <c r="G23" s="2607">
        <f>'Skolepenge, pasningsordning.'!I121</f>
        <v>0</v>
      </c>
      <c r="H23" s="2604" t="str">
        <f>IF(F6=0,"0",F23/F6)</f>
        <v>0</v>
      </c>
      <c r="M23" s="10"/>
    </row>
    <row r="24" spans="1:13" ht="16" customHeight="1">
      <c r="A24" s="317"/>
      <c r="B24" s="84"/>
      <c r="C24" s="2509" t="s">
        <v>175</v>
      </c>
      <c r="D24" s="2516"/>
      <c r="E24" s="2513"/>
      <c r="F24" s="2608">
        <f>'Skolepenge, pasningsordning.'!H122</f>
        <v>0</v>
      </c>
      <c r="G24" s="2608">
        <f>'Skolepenge, pasningsordning.'!I122</f>
        <v>0</v>
      </c>
      <c r="H24" s="2605" t="str">
        <f>IF(Forside!G39=0,"0",Hovedskema!F24/Forside!E39)</f>
        <v>0</v>
      </c>
      <c r="M24" s="10"/>
    </row>
    <row r="25" spans="1:13" ht="16" customHeight="1">
      <c r="A25" s="317"/>
      <c r="B25" s="84"/>
      <c r="C25" s="2510" t="s">
        <v>176</v>
      </c>
      <c r="D25" s="2516"/>
      <c r="E25" s="2513"/>
      <c r="F25" s="2609">
        <f>Daginstitution!T37</f>
        <v>0</v>
      </c>
      <c r="G25" s="2608">
        <f>IF(G8=0,"0",(F25/Daginstitution!T3*Daginstitution!T4)/Hovedskema!F8*Hovedskema!G8)*(1+SatsBilag!B44)</f>
        <v>0</v>
      </c>
      <c r="H25" s="2605" t="str">
        <f>IF(F8=0,"0",(F25/Daginstitution!T3*Daginstitution!T4)/Hovedskema!F8)</f>
        <v>0</v>
      </c>
      <c r="M25" s="10"/>
    </row>
    <row r="26" spans="1:13" ht="16" customHeight="1">
      <c r="A26" s="317"/>
      <c r="B26" s="84"/>
      <c r="C26" s="2510" t="s">
        <v>177</v>
      </c>
      <c r="D26" s="2516"/>
      <c r="E26" s="2513"/>
      <c r="F26" s="2609">
        <f>Daginstitution!T90</f>
        <v>0</v>
      </c>
      <c r="G26" s="2608" t="str">
        <f>IF(G9=0,"0",(F26/Daginstitution!T56*Daginstitution!T57/F9*Hovedskema!G9*(1+SatsBilag!B45)))</f>
        <v>0</v>
      </c>
      <c r="H26" s="2605" t="str">
        <f>IF(F9=0,"0",(F26/Daginstitution!T56*Daginstitution!T57)/Hovedskema!F9)</f>
        <v>0</v>
      </c>
      <c r="M26" s="10"/>
    </row>
    <row r="27" spans="1:13" ht="16" customHeight="1">
      <c r="A27" s="317"/>
      <c r="B27" s="84"/>
      <c r="C27" s="2510" t="s">
        <v>178</v>
      </c>
      <c r="D27" s="2516"/>
      <c r="E27" s="2513"/>
      <c r="F27" s="2609">
        <f>'Heltids SFO'!N12</f>
        <v>0</v>
      </c>
      <c r="G27" s="2610">
        <f>IF(F27&gt;0,F27/F7*G7,0)</f>
        <v>0</v>
      </c>
      <c r="H27" s="2605">
        <f>IF(F27&gt;0,F27/F7,0)</f>
        <v>0</v>
      </c>
      <c r="M27" s="10"/>
    </row>
    <row r="28" spans="1:13" ht="17" customHeight="1" thickBot="1">
      <c r="A28" s="2846"/>
      <c r="B28" s="2847"/>
      <c r="C28" s="2511" t="s">
        <v>179</v>
      </c>
      <c r="D28" s="2517"/>
      <c r="E28" s="2514"/>
      <c r="F28" s="2611">
        <f>('Skolepenge, pasningsordning.'!H151-'Skolepenge, pasningsordning.'!H115-'Skolepenge, pasningsordning.'!H116-'Skolepenge, pasningsordning.'!H117-'Skolepenge, pasningsordning.'!H121-'Skolepenge, pasningsordning.'!H122)</f>
        <v>0</v>
      </c>
      <c r="G28" s="2612">
        <f>IF(F28&gt;0,'Skolepenge, pasningsordning.'!I151-SUM('Skolepenge, pasningsordning.'!I115:I122)+'Skolepenge, pasningsordning.'!I118+'Skolepenge, pasningsordning.'!I119+'Skolepenge, pasningsordning.'!I120,0)</f>
        <v>0</v>
      </c>
      <c r="H28" s="2606">
        <f t="shared" si="0"/>
        <v>0</v>
      </c>
    </row>
    <row r="29" spans="1:13" ht="16" customHeight="1" thickBot="1">
      <c r="A29" s="2842"/>
      <c r="B29" s="2843"/>
      <c r="C29" s="769" t="s">
        <v>180</v>
      </c>
      <c r="D29" s="770">
        <f>SUM(D12:D28)</f>
        <v>0</v>
      </c>
      <c r="E29" s="771">
        <f>SUM(E12:E28)</f>
        <v>0</v>
      </c>
      <c r="F29" s="771">
        <f>SUM(F12:F28)</f>
        <v>135843</v>
      </c>
      <c r="G29" s="771">
        <f>SUM(G12:G28)</f>
        <v>135843</v>
      </c>
      <c r="H29" s="772">
        <f>IF($F$4=0,0,F29/((($E$4*7)+($F$4*5))/12))</f>
        <v>0</v>
      </c>
    </row>
    <row r="30" spans="1:13" ht="16" customHeight="1" thickBot="1">
      <c r="A30" s="317"/>
      <c r="B30" s="84"/>
      <c r="C30" s="2826" t="s">
        <v>181</v>
      </c>
      <c r="D30" s="2828"/>
      <c r="E30" s="2827"/>
      <c r="F30" s="2828"/>
      <c r="G30" s="2828"/>
      <c r="H30" s="2829"/>
      <c r="M30" s="10"/>
    </row>
    <row r="31" spans="1:13" ht="16" customHeight="1" thickTop="1">
      <c r="A31" s="2848"/>
      <c r="B31" s="2849"/>
      <c r="C31" s="105" t="s">
        <v>182</v>
      </c>
      <c r="D31" s="2518"/>
      <c r="E31" s="2613"/>
      <c r="F31" s="2619">
        <f>'lon undervisning'!AF67+'lon undervisning'!AH94+SUM('lon undervisning'!AD94:AE94)+'Lon pæd., TAP mm'!BZ56+'Lon pæd., TAP mm'!BY81+'Lon pæd., TAP mm'!BZ81+'Lon pæd., TAP mm'!BZ84</f>
        <v>0</v>
      </c>
      <c r="G31" s="2619">
        <f>'lon undervisning'!AF68+'lon undervisning'!AH96+SUM('lon undervisning'!AD96:AE96)+'Lon pæd., TAP mm'!BZ57+'Lon pæd., TAP mm'!BY83+'Lon pæd., TAP mm'!BZ83+'Lon pæd., TAP mm'!BZ85</f>
        <v>0</v>
      </c>
      <c r="H31" s="2615">
        <f t="shared" si="0"/>
        <v>0</v>
      </c>
      <c r="I31" s="343"/>
    </row>
    <row r="32" spans="1:13" ht="16" customHeight="1">
      <c r="A32" s="2848"/>
      <c r="B32" s="2849"/>
      <c r="C32" s="847" t="s">
        <v>183</v>
      </c>
      <c r="D32" s="2505"/>
      <c r="E32" s="2502"/>
      <c r="F32" s="2620">
        <f>'lon undervisning'!AF82+SUM('Lon pæd., TAP mm'!BO68:BZ68)</f>
        <v>0</v>
      </c>
      <c r="G32" s="2620">
        <f>'lon undervisning'!AF83+SUM('Lon pæd., TAP mm'!BO69:BZ69)</f>
        <v>0</v>
      </c>
      <c r="H32" s="2616">
        <f t="shared" si="0"/>
        <v>0</v>
      </c>
    </row>
    <row r="33" spans="1:13" ht="16" customHeight="1">
      <c r="A33" s="2840"/>
      <c r="B33" s="2841"/>
      <c r="C33" s="105" t="s">
        <v>184</v>
      </c>
      <c r="D33" s="2505"/>
      <c r="E33" s="2502"/>
      <c r="F33" s="2621">
        <f>'Lon pæd., TAP mm'!W84+'Lon pæd., TAP mm'!W56+SUM('Lon pæd., TAP mm'!V81:W81)</f>
        <v>0</v>
      </c>
      <c r="G33" s="2620">
        <f>'Lon pæd., TAP mm'!W57+'Lon pæd., TAP mm'!W85+SUM('Lon pæd., TAP mm'!V83:W83)</f>
        <v>0</v>
      </c>
      <c r="H33" s="2616">
        <f>IF(F6=0,0,F33/((($E$6*7)+($F$6*5))/12))</f>
        <v>0</v>
      </c>
    </row>
    <row r="34" spans="1:13" ht="16" customHeight="1">
      <c r="A34" s="2840"/>
      <c r="B34" s="2841"/>
      <c r="C34" s="318" t="s">
        <v>185</v>
      </c>
      <c r="D34" s="2505"/>
      <c r="E34" s="2502"/>
      <c r="F34" s="2620">
        <f>'Lon pæd., TAP mm'!W70</f>
        <v>0</v>
      </c>
      <c r="G34" s="2620">
        <f>SUM('Lon pæd., TAP mm'!C69:W69)</f>
        <v>0</v>
      </c>
      <c r="H34" s="2616">
        <f>IF(F6=0,0,F34/((($E$6*7)+($F$6*5))/12))</f>
        <v>0</v>
      </c>
    </row>
    <row r="35" spans="1:13" ht="16" customHeight="1">
      <c r="A35" s="2840"/>
      <c r="B35" s="2841"/>
      <c r="C35" s="105" t="s">
        <v>186</v>
      </c>
      <c r="D35" s="2505"/>
      <c r="E35" s="2502"/>
      <c r="F35" s="2620">
        <f>'Lon pæd., TAP mm'!BN56+'Lon pæd., TAP mm'!BN84+SUM('Lon pæd., TAP mm'!BM81:BN81)</f>
        <v>0</v>
      </c>
      <c r="G35" s="2620">
        <f>'Lon pæd., TAP mm'!BN85+'Lon pæd., TAP mm'!BN57+SUM('Lon pæd., TAP mm'!BM83:BN83)</f>
        <v>0</v>
      </c>
      <c r="H35" s="2617">
        <f>IF(F35&gt;0,F35/F7,0)</f>
        <v>0</v>
      </c>
    </row>
    <row r="36" spans="1:13" ht="16" customHeight="1">
      <c r="A36" s="2840"/>
      <c r="B36" s="2841"/>
      <c r="C36" s="318" t="s">
        <v>187</v>
      </c>
      <c r="D36" s="2505"/>
      <c r="E36" s="2502"/>
      <c r="F36" s="2620">
        <f>'Lon pæd., TAP mm'!BN70</f>
        <v>0</v>
      </c>
      <c r="G36" s="2622">
        <f>SUM('Lon pæd., TAP mm'!BB69:BN69)</f>
        <v>0</v>
      </c>
      <c r="H36" s="2617">
        <f>IF(F36&gt;0,F36/F7,0)</f>
        <v>0</v>
      </c>
    </row>
    <row r="37" spans="1:13" ht="16" customHeight="1">
      <c r="A37" s="2840"/>
      <c r="B37" s="2841"/>
      <c r="C37" s="105" t="s">
        <v>188</v>
      </c>
      <c r="D37" s="2516"/>
      <c r="E37" s="2513"/>
      <c r="F37" s="2623">
        <f>'Lon pæd., TAP mm'!BA84+'Lon pæd., TAP mm'!BA56+SUM('Lon pæd., TAP mm'!AZ81:BA81)</f>
        <v>0</v>
      </c>
      <c r="G37" s="2624">
        <f>'Lon pæd., TAP mm'!BA57+'Lon pæd., TAP mm'!BA85+SUM('Lon pæd., TAP mm'!AZ83:BA83)</f>
        <v>0</v>
      </c>
      <c r="H37" s="2617">
        <f>IF($F$8=0,0,F37/F8/Daginstitution!T3)</f>
        <v>0</v>
      </c>
    </row>
    <row r="38" spans="1:13" ht="16" customHeight="1">
      <c r="A38" s="317"/>
      <c r="B38" s="84"/>
      <c r="C38" s="130" t="s">
        <v>189</v>
      </c>
      <c r="D38" s="2505"/>
      <c r="E38" s="2502"/>
      <c r="F38" s="2623">
        <f>'Lon pæd., TAP mm'!BA70</f>
        <v>0</v>
      </c>
      <c r="G38" s="2624">
        <f>SUM('Lon pæd., TAP mm'!X69:BA69)</f>
        <v>0</v>
      </c>
      <c r="H38" s="2617" t="str">
        <f>IF(F8=0,"0",F38/F8/Daginstitution!T3)</f>
        <v>0</v>
      </c>
    </row>
    <row r="39" spans="1:13" ht="16" customHeight="1">
      <c r="A39" s="2840"/>
      <c r="B39" s="2841"/>
      <c r="C39" s="346" t="s">
        <v>190</v>
      </c>
      <c r="D39" s="2505"/>
      <c r="E39" s="2502"/>
      <c r="F39" s="2620">
        <f>IF('Undervisning-SFO udgifter'!E113=0,0,'Undervisning-SFO udgifter'!E113)</f>
        <v>0</v>
      </c>
      <c r="G39" s="2625">
        <f>(F39+'Undervisning-SFO udgifter'!F130)*(1+fremskrivning)</f>
        <v>0</v>
      </c>
      <c r="H39" s="2617">
        <f t="shared" si="0"/>
        <v>0</v>
      </c>
    </row>
    <row r="40" spans="1:13" ht="16" customHeight="1">
      <c r="A40" s="2840"/>
      <c r="B40" s="2841"/>
      <c r="C40" s="106" t="s">
        <v>191</v>
      </c>
      <c r="D40" s="2505"/>
      <c r="E40" s="2502"/>
      <c r="F40" s="2626">
        <f>IF('Undervisning-SFO udgifter'!E129=0,0,'Undervisning-SFO udgifter'!E129)</f>
        <v>0</v>
      </c>
      <c r="G40" s="2620">
        <f>(F40+'Undervisning-SFO udgifter'!F131)*(1+fremskrivning)</f>
        <v>0</v>
      </c>
      <c r="H40" s="2617">
        <f>IF($F$6=0,0,F40/((($E$6*7)+($F$6*5))/12))</f>
        <v>0</v>
      </c>
    </row>
    <row r="41" spans="1:13" ht="16" customHeight="1">
      <c r="A41" s="317"/>
      <c r="B41" s="84"/>
      <c r="C41" s="106" t="s">
        <v>192</v>
      </c>
      <c r="D41" s="2505"/>
      <c r="E41" s="2502"/>
      <c r="F41" s="2627" t="str">
        <f>IF(F8=0,"0",Daginstitution!F186)</f>
        <v>0</v>
      </c>
      <c r="G41" s="2628" t="str">
        <f>IF(G8=0,"0",(((F41)+Daginstitution!F208)*(1+fremskrivning)))</f>
        <v>0</v>
      </c>
      <c r="H41" s="2617" t="str">
        <f>IF(F8=0,"0",F41/F8)</f>
        <v>0</v>
      </c>
      <c r="I41" s="347"/>
    </row>
    <row r="42" spans="1:13" ht="16" customHeight="1" thickBot="1">
      <c r="A42" s="2840"/>
      <c r="B42" s="2841"/>
      <c r="C42" s="318" t="s">
        <v>193</v>
      </c>
      <c r="D42" s="2519"/>
      <c r="E42" s="2614"/>
      <c r="F42" s="2629">
        <f>IF('Heltids SFO'!J46&gt;0,'Heltids SFO'!J46-'Heltids SFO'!J32-'Heltids SFO'!J33-'Heltids SFO'!J34,0)</f>
        <v>0</v>
      </c>
      <c r="G42" s="2630">
        <f>IF('Heltids SFO'!M46&gt;0,'Heltids SFO'!M46-'Heltids SFO'!M32-'Heltids SFO'!M33-'Heltids SFO'!M34,0)</f>
        <v>0</v>
      </c>
      <c r="H42" s="2617">
        <f>IF(F42&gt;0,F42/F7,0)</f>
        <v>0</v>
      </c>
      <c r="I42" s="347"/>
    </row>
    <row r="43" spans="1:13" ht="16" customHeight="1" thickBot="1">
      <c r="A43" s="2842"/>
      <c r="B43" s="2843"/>
      <c r="C43" s="1018" t="s">
        <v>194</v>
      </c>
      <c r="D43" s="1019">
        <f>SUM(D31:D42)</f>
        <v>0</v>
      </c>
      <c r="E43" s="1020">
        <f>SUM(E31:E42)</f>
        <v>0</v>
      </c>
      <c r="F43" s="2618">
        <f>SUM(F31:F42)</f>
        <v>0</v>
      </c>
      <c r="G43" s="2618">
        <f>SUM(G31:G42)</f>
        <v>0</v>
      </c>
      <c r="H43" s="1021">
        <f t="shared" si="0"/>
        <v>0</v>
      </c>
      <c r="I43" s="347"/>
    </row>
    <row r="44" spans="1:13" ht="16" customHeight="1" thickBot="1">
      <c r="A44" s="317"/>
      <c r="B44" s="84"/>
      <c r="C44" s="2826" t="s">
        <v>195</v>
      </c>
      <c r="D44" s="2827"/>
      <c r="E44" s="2827"/>
      <c r="F44" s="2828"/>
      <c r="G44" s="2828"/>
      <c r="H44" s="2829"/>
      <c r="I44" s="347"/>
      <c r="M44" s="10"/>
    </row>
    <row r="45" spans="1:13" ht="16" customHeight="1" thickTop="1">
      <c r="A45" s="2838"/>
      <c r="B45" s="2839"/>
      <c r="C45" s="2520" t="s">
        <v>196</v>
      </c>
      <c r="D45" s="2523"/>
      <c r="E45" s="2631"/>
      <c r="F45" s="2634">
        <f>'Lon pæd., TAP mm'!CW84+'Lon pæd., TAP mm'!CW56+SUM('Lon pæd., TAP mm'!CV81:CW81)</f>
        <v>0</v>
      </c>
      <c r="G45" s="2634">
        <f>'Lon pæd., TAP mm'!CW57+'Lon pæd., TAP mm'!CW85+SUM('Lon pæd., TAP mm'!CV83:CW83)</f>
        <v>0</v>
      </c>
      <c r="H45" s="2616">
        <f t="shared" si="0"/>
        <v>0</v>
      </c>
      <c r="I45" s="347"/>
    </row>
    <row r="46" spans="1:13" ht="16" customHeight="1">
      <c r="A46" s="2838"/>
      <c r="B46" s="2839"/>
      <c r="C46" s="105" t="s">
        <v>197</v>
      </c>
      <c r="D46" s="2524"/>
      <c r="E46" s="2631"/>
      <c r="F46" s="2635">
        <f>'Lon pæd., TAP mm'!CW70</f>
        <v>0</v>
      </c>
      <c r="G46" s="2635">
        <f>SUM('Lon pæd., TAP mm'!CK69:CW69)</f>
        <v>0</v>
      </c>
      <c r="H46" s="2616">
        <f t="shared" si="0"/>
        <v>0</v>
      </c>
      <c r="I46" s="347"/>
    </row>
    <row r="47" spans="1:13" ht="16" customHeight="1">
      <c r="A47" s="2840"/>
      <c r="B47" s="2841"/>
      <c r="C47" s="847" t="s">
        <v>198</v>
      </c>
      <c r="D47" s="2524"/>
      <c r="E47" s="2631"/>
      <c r="F47" s="2635">
        <f>Ejendom!E17</f>
        <v>0</v>
      </c>
      <c r="G47" s="2635">
        <f>IF(F47="","",(F47+Ejendom!F9+Ejendom!F16)*(1+fremskrivning))</f>
        <v>0</v>
      </c>
      <c r="H47" s="2616">
        <f t="shared" si="0"/>
        <v>0</v>
      </c>
      <c r="I47" s="347"/>
    </row>
    <row r="48" spans="1:13" ht="16" customHeight="1">
      <c r="A48" s="2840"/>
      <c r="B48" s="2841"/>
      <c r="C48" s="847" t="s">
        <v>199</v>
      </c>
      <c r="D48" s="2524"/>
      <c r="E48" s="2631"/>
      <c r="F48" s="2635">
        <f>Ejendom!E33</f>
        <v>0</v>
      </c>
      <c r="G48" s="2635">
        <f>IF(F48="","",(F48+Ejendom!F25+Ejendom!F32)*(1+fremskrivning))</f>
        <v>0</v>
      </c>
      <c r="H48" s="2616">
        <f t="shared" si="0"/>
        <v>0</v>
      </c>
      <c r="I48" s="347"/>
    </row>
    <row r="49" spans="1:13" ht="16" customHeight="1">
      <c r="A49" s="2840"/>
      <c r="B49" s="2841"/>
      <c r="C49" s="847" t="s">
        <v>200</v>
      </c>
      <c r="D49" s="2524"/>
      <c r="E49" s="2631"/>
      <c r="F49" s="2635">
        <f>Ejendom!E56</f>
        <v>0</v>
      </c>
      <c r="G49" s="2635">
        <f>IF(F49="","",(F49+Ejendom!F38+Ejendom!F42+Ejendom!F46+Ejendom!F55)*(1+fremskrivning))</f>
        <v>0</v>
      </c>
      <c r="H49" s="2616">
        <f t="shared" si="0"/>
        <v>0</v>
      </c>
      <c r="I49" s="347"/>
    </row>
    <row r="50" spans="1:13" ht="16" customHeight="1">
      <c r="A50" s="2840"/>
      <c r="B50" s="2841"/>
      <c r="C50" s="847" t="s">
        <v>201</v>
      </c>
      <c r="D50" s="2524"/>
      <c r="E50" s="2631"/>
      <c r="F50" s="2635">
        <f>Ejendom!E65</f>
        <v>0</v>
      </c>
      <c r="G50" s="2635">
        <f>IF(F50="","",(F50+Ejendom!F65)*(1+fremskrivning))</f>
        <v>0</v>
      </c>
      <c r="H50" s="2616">
        <f t="shared" si="0"/>
        <v>0</v>
      </c>
      <c r="I50" s="347"/>
    </row>
    <row r="51" spans="1:13" ht="16" customHeight="1">
      <c r="A51" s="2840"/>
      <c r="B51" s="2841"/>
      <c r="C51" s="2521" t="s">
        <v>202</v>
      </c>
      <c r="D51" s="2524"/>
      <c r="E51" s="2631"/>
      <c r="F51" s="2635">
        <f>Ejendom!E89</f>
        <v>0</v>
      </c>
      <c r="G51" s="2635">
        <f>IF(F51="","",(F51+Ejendom!F71+Ejendom!F76+Ejendom!F81+Ejendom!F88)*(1+fremskrivning))</f>
        <v>0</v>
      </c>
      <c r="H51" s="2616">
        <f t="shared" si="0"/>
        <v>0</v>
      </c>
      <c r="I51" s="347"/>
    </row>
    <row r="52" spans="1:13" ht="16" customHeight="1" thickBot="1">
      <c r="A52" s="2840"/>
      <c r="B52" s="2841"/>
      <c r="C52" s="2522" t="s">
        <v>203</v>
      </c>
      <c r="D52" s="2525"/>
      <c r="E52" s="2632"/>
      <c r="F52" s="2636">
        <f>Ejendom!E97</f>
        <v>0</v>
      </c>
      <c r="G52" s="2637">
        <f>F52+Ejendom!F97</f>
        <v>0</v>
      </c>
      <c r="H52" s="2633">
        <f t="shared" si="0"/>
        <v>0</v>
      </c>
      <c r="I52" s="347"/>
    </row>
    <row r="53" spans="1:13" ht="16" customHeight="1" thickBot="1">
      <c r="A53" s="2842"/>
      <c r="B53" s="2843"/>
      <c r="C53" s="1018" t="s">
        <v>204</v>
      </c>
      <c r="D53" s="1020">
        <f>SUM(D45:D52)</f>
        <v>0</v>
      </c>
      <c r="E53" s="1020">
        <f>SUM(E45:E52)</f>
        <v>0</v>
      </c>
      <c r="F53" s="2618">
        <f>SUM(F45:F52)</f>
        <v>0</v>
      </c>
      <c r="G53" s="2618">
        <f>SUM(G45:G52)</f>
        <v>0</v>
      </c>
      <c r="H53" s="1021">
        <f t="shared" si="0"/>
        <v>0</v>
      </c>
      <c r="I53" s="347"/>
    </row>
    <row r="54" spans="1:13" ht="16" customHeight="1" thickBot="1">
      <c r="A54" s="317"/>
      <c r="B54" s="84"/>
      <c r="C54" s="2826" t="s">
        <v>205</v>
      </c>
      <c r="D54" s="2827"/>
      <c r="E54" s="2827"/>
      <c r="F54" s="2828"/>
      <c r="G54" s="2828"/>
      <c r="H54" s="2829"/>
      <c r="I54" s="347"/>
      <c r="M54" s="10"/>
    </row>
    <row r="55" spans="1:13" ht="16" customHeight="1" thickTop="1">
      <c r="A55" s="317"/>
      <c r="B55" s="84"/>
      <c r="C55" s="847" t="s">
        <v>206</v>
      </c>
      <c r="D55" s="2523"/>
      <c r="E55" s="2631"/>
      <c r="F55" s="2641">
        <f>'Lon pæd., TAP mm'!DD84+'Lon pæd., TAP mm'!DD56+SUM('Lon pæd., TAP mm'!DC81:DD81)</f>
        <v>0</v>
      </c>
      <c r="G55" s="2641">
        <f>'Lon pæd., TAP mm'!DD57+'Lon pæd., TAP mm'!DD85+SUM('Lon pæd., TAP mm'!DC83:DD83)</f>
        <v>0</v>
      </c>
      <c r="H55" s="2616">
        <f t="shared" si="0"/>
        <v>0</v>
      </c>
      <c r="I55" s="347"/>
      <c r="M55" s="10"/>
    </row>
    <row r="56" spans="1:13" ht="16" customHeight="1">
      <c r="A56" s="2840"/>
      <c r="B56" s="2841"/>
      <c r="C56" s="847" t="s">
        <v>207</v>
      </c>
      <c r="D56" s="2524"/>
      <c r="E56" s="2631"/>
      <c r="F56" s="2623">
        <f>'Lon pæd., TAP mm'!DD70</f>
        <v>0</v>
      </c>
      <c r="G56" s="2623">
        <f>SUM('Lon pæd., TAP mm'!CX69:DD69)</f>
        <v>0</v>
      </c>
      <c r="H56" s="2616">
        <f t="shared" si="0"/>
        <v>0</v>
      </c>
      <c r="I56" s="347"/>
    </row>
    <row r="57" spans="1:13" ht="16" customHeight="1">
      <c r="A57" s="2840"/>
      <c r="B57" s="2841"/>
      <c r="C57" s="106" t="s">
        <v>208</v>
      </c>
      <c r="D57" s="2526"/>
      <c r="E57" s="2638"/>
      <c r="F57" s="2623">
        <f>Skolemadsordning!E40</f>
        <v>0</v>
      </c>
      <c r="G57" s="2623">
        <f>(F57+Skolemadsordning!F46-SUM(Skolemadsordning!F43:F44))*1.025</f>
        <v>0</v>
      </c>
      <c r="H57" s="2616">
        <f t="shared" si="0"/>
        <v>0</v>
      </c>
    </row>
    <row r="58" spans="1:13" ht="16" customHeight="1" thickBot="1">
      <c r="A58" s="2840"/>
      <c r="B58" s="2841"/>
      <c r="C58" s="106" t="s">
        <v>209</v>
      </c>
      <c r="D58" s="2527"/>
      <c r="E58" s="2639"/>
      <c r="F58" s="2642">
        <f>Skolemadsordning!E45</f>
        <v>0</v>
      </c>
      <c r="G58" s="2642">
        <f>(F58+SUM(Skolemadsordning!F43:F44))</f>
        <v>0</v>
      </c>
      <c r="H58" s="2616">
        <f t="shared" si="0"/>
        <v>0</v>
      </c>
    </row>
    <row r="59" spans="1:13" ht="16" customHeight="1" thickBot="1">
      <c r="A59" s="2842"/>
      <c r="B59" s="2843"/>
      <c r="C59" s="1018" t="s">
        <v>210</v>
      </c>
      <c r="D59" s="1023">
        <f>SUM(D54:D58)</f>
        <v>0</v>
      </c>
      <c r="E59" s="1023">
        <f>SUM(E54:E58)</f>
        <v>0</v>
      </c>
      <c r="F59" s="2640">
        <f>SUM(F54:F58)</f>
        <v>0</v>
      </c>
      <c r="G59" s="2640">
        <f>SUM(G54:G58)</f>
        <v>0</v>
      </c>
      <c r="H59" s="1024">
        <f t="shared" si="0"/>
        <v>0</v>
      </c>
    </row>
    <row r="60" spans="1:13" ht="16" customHeight="1" thickBot="1">
      <c r="A60" s="317"/>
      <c r="B60" s="84"/>
      <c r="C60" s="2826" t="s">
        <v>211</v>
      </c>
      <c r="D60" s="2827"/>
      <c r="E60" s="2827"/>
      <c r="F60" s="2828"/>
      <c r="G60" s="2828"/>
      <c r="H60" s="2829"/>
      <c r="M60" s="10"/>
    </row>
    <row r="61" spans="1:13" ht="16" customHeight="1" thickTop="1">
      <c r="A61" s="2840"/>
      <c r="B61" s="2841"/>
      <c r="C61" s="2520" t="s">
        <v>212</v>
      </c>
      <c r="D61" s="2523"/>
      <c r="E61" s="2643"/>
      <c r="F61" s="2634">
        <f>'Lon pæd., TAP mm'!CJ84+'Lon pæd., TAP mm'!CJ56+SUM('Lon pæd., TAP mm'!CI81:CJ81)</f>
        <v>0</v>
      </c>
      <c r="G61" s="2634">
        <f>'Lon pæd., TAP mm'!CJ57+'Lon pæd., TAP mm'!CJ85+SUM('Lon pæd., TAP mm'!CI83:CJ83)</f>
        <v>0</v>
      </c>
      <c r="H61" s="2616">
        <f t="shared" si="0"/>
        <v>0</v>
      </c>
    </row>
    <row r="62" spans="1:13" ht="16" customHeight="1">
      <c r="A62" s="2840"/>
      <c r="B62" s="2841"/>
      <c r="C62" s="105" t="s">
        <v>213</v>
      </c>
      <c r="D62" s="2524"/>
      <c r="E62" s="2631"/>
      <c r="F62" s="2646">
        <f>'Lon pæd., TAP mm'!CJ70</f>
        <v>0</v>
      </c>
      <c r="G62" s="2635">
        <f>SUM('Lon pæd., TAP mm'!CA69:CJ69)</f>
        <v>0</v>
      </c>
      <c r="H62" s="2616">
        <f t="shared" si="0"/>
        <v>0</v>
      </c>
    </row>
    <row r="63" spans="1:13" ht="16" customHeight="1">
      <c r="A63" s="2840"/>
      <c r="B63" s="2841"/>
      <c r="C63" s="847" t="s">
        <v>214</v>
      </c>
      <c r="D63" s="2524"/>
      <c r="E63" s="2631"/>
      <c r="F63" s="2635">
        <f>Administration!F123</f>
        <v>9167</v>
      </c>
      <c r="G63" s="2635">
        <f>IF(F63="","",((F63+Administration!F124)*(1+fremskrivning)))</f>
        <v>9304.5049999999992</v>
      </c>
      <c r="H63" s="2616">
        <f t="shared" si="0"/>
        <v>0</v>
      </c>
    </row>
    <row r="64" spans="1:13" ht="16" customHeight="1" thickBot="1">
      <c r="A64" s="2840"/>
      <c r="B64" s="2841"/>
      <c r="C64" s="106" t="s">
        <v>215</v>
      </c>
      <c r="D64" s="2527"/>
      <c r="E64" s="2644"/>
      <c r="F64" s="2647">
        <f>Administration!E113</f>
        <v>0</v>
      </c>
      <c r="G64" s="2647">
        <f>(F64+Administration!F125)</f>
        <v>0</v>
      </c>
      <c r="H64" s="2616">
        <f>IF($F$4=0,0,F64/((($E$4*7)+($F$4*5))/12))</f>
        <v>0</v>
      </c>
    </row>
    <row r="65" spans="1:8" ht="16" customHeight="1" thickBot="1">
      <c r="A65" s="768"/>
      <c r="B65" s="59"/>
      <c r="C65" s="1018" t="s">
        <v>216</v>
      </c>
      <c r="D65" s="1025">
        <f>SUM(D61:D64)</f>
        <v>0</v>
      </c>
      <c r="E65" s="1025">
        <f>SUM(E61:E64)</f>
        <v>0</v>
      </c>
      <c r="F65" s="2645">
        <f>SUM(F61:F64)</f>
        <v>9167</v>
      </c>
      <c r="G65" s="2618">
        <f>SUM(G61:G64)</f>
        <v>9304.5049999999992</v>
      </c>
      <c r="H65" s="1021">
        <f t="shared" si="0"/>
        <v>0</v>
      </c>
    </row>
    <row r="66" spans="1:8" ht="16" customHeight="1" thickBot="1">
      <c r="A66" s="768"/>
      <c r="B66" s="59"/>
      <c r="C66" s="1018" t="s">
        <v>217</v>
      </c>
      <c r="D66" s="1020">
        <f>D65+D59+D53+D43</f>
        <v>0</v>
      </c>
      <c r="E66" s="1020">
        <f>E43+E53+E59+E65</f>
        <v>0</v>
      </c>
      <c r="F66" s="1020">
        <f>F43+F53+F59+F65</f>
        <v>9167</v>
      </c>
      <c r="G66" s="1020">
        <f>G43+G53+G59+G65</f>
        <v>9304.5049999999992</v>
      </c>
      <c r="H66" s="1026">
        <f>H43+H53+H59+H65</f>
        <v>0</v>
      </c>
    </row>
    <row r="67" spans="1:8" ht="16" customHeight="1">
      <c r="A67" s="768"/>
      <c r="B67" s="59"/>
      <c r="C67" s="1027" t="s">
        <v>218</v>
      </c>
      <c r="D67" s="1025">
        <f>D29-D66</f>
        <v>0</v>
      </c>
      <c r="E67" s="1025">
        <f>E29-E66</f>
        <v>0</v>
      </c>
      <c r="F67" s="1025">
        <f>F29-F66</f>
        <v>126676</v>
      </c>
      <c r="G67" s="1025">
        <f>G29-G66</f>
        <v>126538.495</v>
      </c>
      <c r="H67" s="1028">
        <f>IF($F$4=0,0,F67/((($E$4*7)+($F$4*5))/12))</f>
        <v>0</v>
      </c>
    </row>
    <row r="68" spans="1:8">
      <c r="A68" s="773"/>
      <c r="B68" s="218"/>
      <c r="C68" s="774"/>
      <c r="D68" s="217"/>
      <c r="E68" s="217"/>
      <c r="F68" s="217"/>
      <c r="G68" s="217"/>
      <c r="H68" s="104"/>
    </row>
    <row r="69" spans="1:8" ht="14" thickBot="1">
      <c r="A69" s="773"/>
      <c r="B69" s="218"/>
      <c r="C69" s="1029" t="s">
        <v>219</v>
      </c>
      <c r="D69" s="1030"/>
      <c r="E69" s="1030"/>
      <c r="F69" s="2675"/>
      <c r="G69" s="2675"/>
      <c r="H69" s="1031"/>
    </row>
    <row r="70" spans="1:8" ht="16" customHeight="1" thickTop="1">
      <c r="A70" s="773"/>
      <c r="B70" s="84"/>
      <c r="C70" s="105" t="s">
        <v>220</v>
      </c>
      <c r="D70" s="2543"/>
      <c r="E70" s="2643"/>
      <c r="F70" s="2619">
        <f>IF(Administration!E129=0,0,Administration!E129+Administration!E130)</f>
        <v>0</v>
      </c>
      <c r="G70" s="2619">
        <f>IF(F70&gt;0,(F70+Administration!F129+Administration!F130),0)</f>
        <v>0</v>
      </c>
      <c r="H70" s="2663">
        <f t="shared" ref="H70:H83" si="1">IF($F$4=0,0,F70/((($E$4*7)+($F$4*5))/12))</f>
        <v>0</v>
      </c>
    </row>
    <row r="71" spans="1:8" ht="16" customHeight="1">
      <c r="A71" s="773"/>
      <c r="B71" s="84"/>
      <c r="C71" s="847" t="s">
        <v>221</v>
      </c>
      <c r="D71" s="2544"/>
      <c r="E71" s="2631"/>
      <c r="F71" s="2676">
        <f>IF(Administration!E131=0,0,Administration!E131)</f>
        <v>0</v>
      </c>
      <c r="G71" s="2676">
        <f>IF(F71&gt;0,F71+Administration!F131,0)</f>
        <v>0</v>
      </c>
      <c r="H71" s="2663">
        <f t="shared" si="1"/>
        <v>0</v>
      </c>
    </row>
    <row r="72" spans="1:8" ht="16" customHeight="1" thickBot="1">
      <c r="A72" s="773"/>
      <c r="B72" s="84"/>
      <c r="C72" s="2522" t="s">
        <v>222</v>
      </c>
      <c r="D72" s="2545"/>
      <c r="E72" s="2648"/>
      <c r="F72" s="2677">
        <f>IF(Administration!E132=0,0,Administration!E132)</f>
        <v>0</v>
      </c>
      <c r="G72" s="2677">
        <f>IF(F72&gt;0,F72+Administration!F132,0)</f>
        <v>0</v>
      </c>
      <c r="H72" s="2664">
        <f t="shared" si="1"/>
        <v>0</v>
      </c>
    </row>
    <row r="73" spans="1:8" ht="16" customHeight="1" thickBot="1">
      <c r="A73" s="768"/>
      <c r="B73" s="59"/>
      <c r="C73" s="2528" t="s">
        <v>223</v>
      </c>
      <c r="D73" s="2546">
        <f>SUM(D70:D72)</f>
        <v>0</v>
      </c>
      <c r="E73" s="2649">
        <f>SUM(E70:E72)</f>
        <v>0</v>
      </c>
      <c r="F73" s="2678">
        <f>SUM(F70:F72)</f>
        <v>0</v>
      </c>
      <c r="G73" s="2678">
        <f>SUM(G70:G72)</f>
        <v>0</v>
      </c>
      <c r="H73" s="2665">
        <f t="shared" si="1"/>
        <v>0</v>
      </c>
    </row>
    <row r="74" spans="1:8" ht="16" customHeight="1">
      <c r="A74" s="773"/>
      <c r="B74" s="84"/>
      <c r="C74" s="2520" t="s">
        <v>224</v>
      </c>
      <c r="D74" s="2547"/>
      <c r="E74" s="2650"/>
      <c r="F74" s="2679">
        <f>Administration!E139</f>
        <v>0</v>
      </c>
      <c r="G74" s="2679">
        <f>IF(F74&gt;0,F74+SUM(Administration!F135:F138),0)</f>
        <v>0</v>
      </c>
      <c r="H74" s="2666">
        <f t="shared" si="1"/>
        <v>0</v>
      </c>
    </row>
    <row r="75" spans="1:8" ht="16" customHeight="1">
      <c r="A75" s="773"/>
      <c r="B75" s="84"/>
      <c r="C75" s="847" t="s">
        <v>225</v>
      </c>
      <c r="D75" s="2548"/>
      <c r="E75" s="2513"/>
      <c r="F75" s="2680">
        <f>Administration!E143+Administration!E147</f>
        <v>0</v>
      </c>
      <c r="G75" s="2680">
        <f>IF(F75&gt;0,F75+SUM(Administration!F141:F142)+SUM(Administration!F145:F146),0)</f>
        <v>0</v>
      </c>
      <c r="H75" s="776">
        <f t="shared" si="1"/>
        <v>0</v>
      </c>
    </row>
    <row r="76" spans="1:8" ht="16" customHeight="1" thickBot="1">
      <c r="A76" s="773"/>
      <c r="B76" s="84"/>
      <c r="C76" s="2522" t="s">
        <v>226</v>
      </c>
      <c r="D76" s="2545"/>
      <c r="E76" s="2513"/>
      <c r="F76" s="2677">
        <f>Administration!E151</f>
        <v>0</v>
      </c>
      <c r="G76" s="2680">
        <f>IF(F76&gt;0,F76+SUM(Administration!F149:F150),0)</f>
        <v>0</v>
      </c>
      <c r="H76" s="2667">
        <f t="shared" si="1"/>
        <v>0</v>
      </c>
    </row>
    <row r="77" spans="1:8" ht="16" customHeight="1" thickBot="1">
      <c r="A77" s="768"/>
      <c r="B77" s="59"/>
      <c r="C77" s="2529" t="s">
        <v>227</v>
      </c>
      <c r="D77" s="2546">
        <f>SUM(D74:D76)</f>
        <v>0</v>
      </c>
      <c r="E77" s="2649">
        <f>SUM(E74:E76)</f>
        <v>0</v>
      </c>
      <c r="F77" s="2678">
        <f>SUM(F74:F76)</f>
        <v>0</v>
      </c>
      <c r="G77" s="2678">
        <f>SUM(G74:G76)</f>
        <v>0</v>
      </c>
      <c r="H77" s="2665">
        <f t="shared" si="1"/>
        <v>0</v>
      </c>
    </row>
    <row r="78" spans="1:8" ht="16" customHeight="1" thickBot="1">
      <c r="A78" s="768"/>
      <c r="B78" s="59"/>
      <c r="C78" s="2529" t="s">
        <v>228</v>
      </c>
      <c r="D78" s="2549">
        <f>D73-D77</f>
        <v>0</v>
      </c>
      <c r="E78" s="2651">
        <f>E73-E77</f>
        <v>0</v>
      </c>
      <c r="F78" s="2681">
        <f>F73-F77</f>
        <v>0</v>
      </c>
      <c r="G78" s="2681">
        <f>G73-G77</f>
        <v>0</v>
      </c>
      <c r="H78" s="2668">
        <f t="shared" si="1"/>
        <v>0</v>
      </c>
    </row>
    <row r="79" spans="1:8" ht="16" customHeight="1" thickBot="1">
      <c r="A79" s="768"/>
      <c r="B79" s="59"/>
      <c r="C79" s="2530" t="s">
        <v>229</v>
      </c>
      <c r="D79" s="2549">
        <f>D67+D78</f>
        <v>0</v>
      </c>
      <c r="E79" s="2651">
        <f>E67+E78</f>
        <v>0</v>
      </c>
      <c r="F79" s="2681">
        <f>F67+F78</f>
        <v>126676</v>
      </c>
      <c r="G79" s="2681">
        <f>G67+G78</f>
        <v>126538.495</v>
      </c>
      <c r="H79" s="2665">
        <f t="shared" si="1"/>
        <v>0</v>
      </c>
    </row>
    <row r="80" spans="1:8" ht="16" customHeight="1">
      <c r="A80" s="773"/>
      <c r="B80" s="84"/>
      <c r="C80" s="2520" t="s">
        <v>230</v>
      </c>
      <c r="D80" s="2544"/>
      <c r="E80" s="2631"/>
      <c r="F80" s="2676">
        <f>Administration!E158</f>
        <v>0</v>
      </c>
      <c r="G80" s="2676">
        <f>IF(F80&gt;0,F80+SUM(Administration!F156:F157),0)</f>
        <v>0</v>
      </c>
      <c r="H80" s="2666">
        <f t="shared" si="1"/>
        <v>0</v>
      </c>
    </row>
    <row r="81" spans="1:8" ht="16" customHeight="1" thickBot="1">
      <c r="A81" s="773"/>
      <c r="B81" s="84"/>
      <c r="C81" s="2531" t="s">
        <v>231</v>
      </c>
      <c r="D81" s="2544"/>
      <c r="E81" s="2631"/>
      <c r="F81" s="2676">
        <f>Administration!E163</f>
        <v>0</v>
      </c>
      <c r="G81" s="2677">
        <f>IF(F81&gt;0,F81+SUM(Administration!F161:F162),0)</f>
        <v>0</v>
      </c>
      <c r="H81" s="2664">
        <f t="shared" si="1"/>
        <v>0</v>
      </c>
    </row>
    <row r="82" spans="1:8" ht="16" customHeight="1" thickBot="1">
      <c r="A82" s="768"/>
      <c r="B82" s="59"/>
      <c r="C82" s="2532" t="s">
        <v>232</v>
      </c>
      <c r="D82" s="2550">
        <f>D80-D81</f>
        <v>0</v>
      </c>
      <c r="E82" s="2652">
        <f>E80-E81</f>
        <v>0</v>
      </c>
      <c r="F82" s="2682">
        <f>F80-F81</f>
        <v>0</v>
      </c>
      <c r="G82" s="2682">
        <f>G80-G81</f>
        <v>0</v>
      </c>
      <c r="H82" s="2665">
        <f t="shared" si="1"/>
        <v>0</v>
      </c>
    </row>
    <row r="83" spans="1:8" ht="16" customHeight="1" thickBot="1">
      <c r="A83" s="768"/>
      <c r="B83" s="59"/>
      <c r="C83" s="2533" t="s">
        <v>233</v>
      </c>
      <c r="D83" s="2551">
        <f>D79+D82</f>
        <v>0</v>
      </c>
      <c r="E83" s="2653">
        <f>E79+E82</f>
        <v>0</v>
      </c>
      <c r="F83" s="2683">
        <f>F79+F82</f>
        <v>126676</v>
      </c>
      <c r="G83" s="2681">
        <f>G79+G82</f>
        <v>126538.495</v>
      </c>
      <c r="H83" s="2668">
        <f t="shared" si="1"/>
        <v>0</v>
      </c>
    </row>
    <row r="84" spans="1:8" ht="16" customHeight="1" thickBot="1">
      <c r="A84" s="1032"/>
      <c r="B84" s="1033"/>
      <c r="C84" s="2534" t="s">
        <v>234</v>
      </c>
      <c r="D84" s="2552"/>
      <c r="E84" s="2654"/>
      <c r="F84" s="2684">
        <f>D133</f>
        <v>126676</v>
      </c>
      <c r="G84" s="2684">
        <f>E133</f>
        <v>126538.495</v>
      </c>
      <c r="H84" s="2669"/>
    </row>
    <row r="85" spans="1:8" ht="16" customHeight="1" thickBot="1">
      <c r="A85" s="107"/>
      <c r="B85" s="57"/>
      <c r="C85" s="2535" t="s">
        <v>235</v>
      </c>
      <c r="D85" s="2553"/>
      <c r="E85" s="2541"/>
      <c r="F85" s="2685"/>
      <c r="G85" s="2686"/>
      <c r="H85" s="2670"/>
    </row>
    <row r="86" spans="1:8" ht="16" customHeight="1">
      <c r="A86" s="107"/>
      <c r="B86" s="58"/>
      <c r="C86" s="2520" t="s">
        <v>236</v>
      </c>
      <c r="D86" s="2544"/>
      <c r="E86" s="2631"/>
      <c r="F86" s="2676">
        <f>IF(E86=0,0,E86-Ejendom!E97)</f>
        <v>0</v>
      </c>
      <c r="G86" s="2679">
        <f>IF(F86=0,0,F86-(Ejendom!E97))</f>
        <v>0</v>
      </c>
      <c r="H86" s="2663">
        <f t="shared" ref="H86:H102" si="2">IF($F$4=0,0,F86/((($E$4*7)+($F$4*5))/12))</f>
        <v>0</v>
      </c>
    </row>
    <row r="87" spans="1:8" ht="16" customHeight="1">
      <c r="A87" s="107"/>
      <c r="B87" s="58"/>
      <c r="C87" s="847" t="s">
        <v>237</v>
      </c>
      <c r="D87" s="2544"/>
      <c r="E87" s="2631"/>
      <c r="F87" s="2676">
        <f>MAX(0,IF(E87=0,0,E87+IF('Undervisning-SFO udgifter'!E66&gt;17500,,'Undervisning-SFO udgifter'!E66)-'Undervisning-SFO udgifter'!F79))</f>
        <v>0</v>
      </c>
      <c r="G87" s="2676">
        <f>IF(F87=0,0,MAX((F87-'Undervisning-SFO udgifter'!F79),0))</f>
        <v>0</v>
      </c>
      <c r="H87" s="2663">
        <f t="shared" si="2"/>
        <v>0</v>
      </c>
    </row>
    <row r="88" spans="1:8" ht="16" customHeight="1">
      <c r="A88" s="107"/>
      <c r="B88" s="58"/>
      <c r="C88" s="847" t="s">
        <v>238</v>
      </c>
      <c r="D88" s="2544"/>
      <c r="E88" s="2631"/>
      <c r="F88" s="2676">
        <f>MAX(0,IF(E88=0,0,E88-Administration!F113))</f>
        <v>0</v>
      </c>
      <c r="G88" s="2676">
        <f>IF(F88=0,0,F88-Administration!F113)</f>
        <v>0</v>
      </c>
      <c r="H88" s="2663">
        <f t="shared" si="2"/>
        <v>0</v>
      </c>
    </row>
    <row r="89" spans="1:8" ht="16" customHeight="1">
      <c r="A89" s="107"/>
      <c r="B89" s="58"/>
      <c r="C89" s="847" t="s">
        <v>239</v>
      </c>
      <c r="D89" s="2544"/>
      <c r="E89" s="2631"/>
      <c r="F89" s="2687"/>
      <c r="G89" s="2687"/>
      <c r="H89" s="2663">
        <f t="shared" si="2"/>
        <v>0</v>
      </c>
    </row>
    <row r="90" spans="1:8" ht="16" customHeight="1">
      <c r="A90" s="107"/>
      <c r="B90" s="58"/>
      <c r="C90" s="847" t="s">
        <v>240</v>
      </c>
      <c r="D90" s="2544"/>
      <c r="E90" s="2631"/>
      <c r="F90" s="2687"/>
      <c r="G90" s="2687"/>
      <c r="H90" s="2663">
        <f t="shared" si="2"/>
        <v>0</v>
      </c>
    </row>
    <row r="91" spans="1:8" ht="16" customHeight="1" thickBot="1">
      <c r="A91" s="107"/>
      <c r="B91" s="58"/>
      <c r="C91" s="2522" t="s">
        <v>241</v>
      </c>
      <c r="D91" s="2554"/>
      <c r="E91" s="2655"/>
      <c r="F91" s="2688"/>
      <c r="G91" s="2688"/>
      <c r="H91" s="2664">
        <f t="shared" si="2"/>
        <v>0</v>
      </c>
    </row>
    <row r="92" spans="1:8" ht="16" customHeight="1" thickBot="1">
      <c r="A92" s="107"/>
      <c r="B92" s="58"/>
      <c r="C92" s="2536" t="s">
        <v>242</v>
      </c>
      <c r="D92" s="2555">
        <f>SUM(D86:D91)</f>
        <v>0</v>
      </c>
      <c r="E92" s="2656">
        <f>SUM(E86:E91)</f>
        <v>0</v>
      </c>
      <c r="F92" s="2689">
        <f>SUM(F86:F91)</f>
        <v>0</v>
      </c>
      <c r="G92" s="2689">
        <f>SUM(G86:G91)</f>
        <v>0</v>
      </c>
      <c r="H92" s="2671">
        <f t="shared" si="2"/>
        <v>0</v>
      </c>
    </row>
    <row r="93" spans="1:8" ht="16" customHeight="1">
      <c r="A93" s="107"/>
      <c r="B93" s="58"/>
      <c r="C93" s="2520" t="s">
        <v>243</v>
      </c>
      <c r="D93" s="2556"/>
      <c r="E93" s="2643"/>
      <c r="F93" s="2690"/>
      <c r="G93" s="2625">
        <f>+F93</f>
        <v>0</v>
      </c>
      <c r="H93" s="2666">
        <f t="shared" si="2"/>
        <v>0</v>
      </c>
    </row>
    <row r="94" spans="1:8" ht="16" customHeight="1">
      <c r="A94" s="107"/>
      <c r="B94" s="58"/>
      <c r="C94" s="847" t="s">
        <v>244</v>
      </c>
      <c r="D94" s="2544"/>
      <c r="E94" s="2631"/>
      <c r="F94" s="2687"/>
      <c r="G94" s="2676">
        <f>+F94</f>
        <v>0</v>
      </c>
      <c r="H94" s="2663">
        <f t="shared" si="2"/>
        <v>0</v>
      </c>
    </row>
    <row r="95" spans="1:8" ht="16" customHeight="1">
      <c r="A95" s="107"/>
      <c r="B95" s="58"/>
      <c r="C95" s="847" t="s">
        <v>245</v>
      </c>
      <c r="D95" s="2544"/>
      <c r="E95" s="2631"/>
      <c r="F95" s="2687"/>
      <c r="G95" s="2676">
        <f>+F95</f>
        <v>0</v>
      </c>
      <c r="H95" s="2672">
        <f t="shared" si="2"/>
        <v>0</v>
      </c>
    </row>
    <row r="96" spans="1:8" ht="16" customHeight="1" thickBot="1">
      <c r="A96" s="107"/>
      <c r="B96" s="58"/>
      <c r="C96" s="2522" t="s">
        <v>246</v>
      </c>
      <c r="D96" s="2557"/>
      <c r="E96" s="2657"/>
      <c r="F96" s="2691"/>
      <c r="G96" s="2676">
        <f>+F96</f>
        <v>0</v>
      </c>
      <c r="H96" s="776">
        <f t="shared" si="2"/>
        <v>0</v>
      </c>
    </row>
    <row r="97" spans="1:8" ht="16" customHeight="1" thickBot="1">
      <c r="A97" s="107"/>
      <c r="B97" s="58"/>
      <c r="C97" s="2536" t="s">
        <v>247</v>
      </c>
      <c r="D97" s="2558">
        <f>SUM(D93:D96)</f>
        <v>0</v>
      </c>
      <c r="E97" s="2658">
        <f>SUM(E93:E96)</f>
        <v>0</v>
      </c>
      <c r="F97" s="2692">
        <f>SUM(F93:F96)</f>
        <v>0</v>
      </c>
      <c r="G97" s="2692">
        <f>SUM(G93:G96)</f>
        <v>0</v>
      </c>
      <c r="H97" s="2673">
        <f t="shared" si="2"/>
        <v>0</v>
      </c>
    </row>
    <row r="98" spans="1:8" ht="16" customHeight="1" thickBot="1">
      <c r="A98" s="107"/>
      <c r="B98" s="58"/>
      <c r="C98" s="2536" t="s">
        <v>248</v>
      </c>
      <c r="D98" s="2555">
        <f>D97+D92</f>
        <v>0</v>
      </c>
      <c r="E98" s="2656">
        <f>E92+E97</f>
        <v>0</v>
      </c>
      <c r="F98" s="2689">
        <f>F92+F97</f>
        <v>0</v>
      </c>
      <c r="G98" s="2689">
        <f>G92+G97</f>
        <v>0</v>
      </c>
      <c r="H98" s="2673">
        <f t="shared" si="2"/>
        <v>0</v>
      </c>
    </row>
    <row r="99" spans="1:8" ht="16" customHeight="1" thickBot="1">
      <c r="A99" s="107"/>
      <c r="B99" s="58"/>
      <c r="C99" s="2536" t="s">
        <v>249</v>
      </c>
      <c r="D99" s="2559">
        <f>D98-D105</f>
        <v>0</v>
      </c>
      <c r="E99" s="2659">
        <f>E98-E105</f>
        <v>0</v>
      </c>
      <c r="F99" s="2693">
        <f>F98-F105</f>
        <v>126676</v>
      </c>
      <c r="G99" s="2693">
        <f>G98-G105</f>
        <v>253214.495</v>
      </c>
      <c r="H99" s="2671">
        <f t="shared" si="2"/>
        <v>0</v>
      </c>
    </row>
    <row r="100" spans="1:8" ht="16" customHeight="1">
      <c r="A100" s="107"/>
      <c r="B100" s="58"/>
      <c r="C100" s="2520" t="s">
        <v>250</v>
      </c>
      <c r="D100" s="2560"/>
      <c r="E100" s="2660"/>
      <c r="F100" s="2694">
        <f>IF(E100=0,0,E100-'Prio-renter'!J25)</f>
        <v>0</v>
      </c>
      <c r="G100" s="2694">
        <f>IF(F100=0,0,F100-('Prio-renter'!J25*(1+fremskrivning)))</f>
        <v>0</v>
      </c>
      <c r="H100" s="2666">
        <f t="shared" si="2"/>
        <v>0</v>
      </c>
    </row>
    <row r="101" spans="1:8" ht="16" customHeight="1">
      <c r="A101" s="107"/>
      <c r="B101" s="58"/>
      <c r="C101" s="847" t="s">
        <v>251</v>
      </c>
      <c r="D101" s="2544"/>
      <c r="E101" s="2631"/>
      <c r="F101" s="2676">
        <f>IF(E101&lt;=0,0,E101+D122)</f>
        <v>0</v>
      </c>
      <c r="G101" s="2676">
        <f>F101</f>
        <v>0</v>
      </c>
      <c r="H101" s="2663">
        <f t="shared" si="2"/>
        <v>0</v>
      </c>
    </row>
    <row r="102" spans="1:8" ht="16" customHeight="1">
      <c r="A102" s="107"/>
      <c r="B102" s="58"/>
      <c r="C102" s="2537" t="s">
        <v>252</v>
      </c>
      <c r="D102" s="2544"/>
      <c r="E102" s="2631"/>
      <c r="F102" s="2676">
        <f>IF((F96)&lt;=0,(E96+E102)-F84,0)</f>
        <v>-126676</v>
      </c>
      <c r="G102" s="2676">
        <f>IF((G96)&lt;=0,(F96+F102)-G84,0)</f>
        <v>-253214.495</v>
      </c>
      <c r="H102" s="2663">
        <f t="shared" si="2"/>
        <v>0</v>
      </c>
    </row>
    <row r="103" spans="1:8" ht="16" customHeight="1">
      <c r="A103" s="107"/>
      <c r="B103" s="58"/>
      <c r="C103" s="2538" t="s">
        <v>253</v>
      </c>
      <c r="D103" s="2561"/>
      <c r="E103" s="2661"/>
      <c r="F103" s="2695"/>
      <c r="G103" s="2688"/>
      <c r="H103" s="776"/>
    </row>
    <row r="104" spans="1:8" ht="16" customHeight="1" thickBot="1">
      <c r="A104" s="107"/>
      <c r="B104" s="58"/>
      <c r="C104" s="2539" t="s">
        <v>254</v>
      </c>
      <c r="D104" s="2562"/>
      <c r="E104" s="2662"/>
      <c r="F104" s="2696"/>
      <c r="G104" s="2696"/>
      <c r="H104" s="2674">
        <f>IF($F$4=0,0,F104/((($E$4*7)+($F$4*5))/12))</f>
        <v>0</v>
      </c>
    </row>
    <row r="105" spans="1:8" ht="16" customHeight="1" thickBot="1">
      <c r="A105" s="107"/>
      <c r="B105" s="58"/>
      <c r="C105" s="2536" t="s">
        <v>255</v>
      </c>
      <c r="D105" s="2563">
        <f>SUM(D100:D104)</f>
        <v>0</v>
      </c>
      <c r="E105" s="2542">
        <f>SUM(E100:E104)</f>
        <v>0</v>
      </c>
      <c r="F105" s="1036">
        <f>SUM(F100:F104)</f>
        <v>-126676</v>
      </c>
      <c r="G105" s="1036">
        <f>SUM(G100:G104)</f>
        <v>-253214.495</v>
      </c>
      <c r="H105" s="775">
        <f>IF($F$4=0,0,F105/((($E$4*7)+($F$4*5))/12))</f>
        <v>0</v>
      </c>
    </row>
    <row r="106" spans="1:8" ht="16" customHeight="1" thickBot="1">
      <c r="A106" s="107"/>
      <c r="B106" s="58"/>
      <c r="C106" s="2540" t="s">
        <v>256</v>
      </c>
      <c r="D106" s="2563">
        <f>D99+D105</f>
        <v>0</v>
      </c>
      <c r="E106" s="2542">
        <f>SUM(E99:E104)</f>
        <v>0</v>
      </c>
      <c r="F106" s="1036">
        <f>SUM(F99:F104)</f>
        <v>0</v>
      </c>
      <c r="G106" s="1036">
        <f>SUM(G99:G104)</f>
        <v>0</v>
      </c>
      <c r="H106" s="1035">
        <f>IF($F$4=0,0,F106/((($E$4*7)+($F$4*5))/12))</f>
        <v>0</v>
      </c>
    </row>
    <row r="107" spans="1:8" ht="16" customHeight="1" thickBot="1">
      <c r="A107" s="107"/>
      <c r="B107" s="58"/>
      <c r="C107" s="777" t="s">
        <v>257</v>
      </c>
      <c r="D107" s="1037"/>
      <c r="E107" s="1037"/>
      <c r="F107" s="1037"/>
      <c r="G107" s="1037"/>
      <c r="H107" s="1034"/>
    </row>
    <row r="108" spans="1:8" ht="16" customHeight="1" thickBot="1">
      <c r="A108" s="107"/>
      <c r="B108" s="58"/>
      <c r="C108" s="1038" t="s">
        <v>258</v>
      </c>
      <c r="D108" s="1039">
        <f>D97-D101-D102-D104</f>
        <v>0</v>
      </c>
      <c r="E108" s="1039">
        <f>E97-E101-E102-E104</f>
        <v>0</v>
      </c>
      <c r="F108" s="1039">
        <f>F97-F101-F102-F104</f>
        <v>126676</v>
      </c>
      <c r="G108" s="1039">
        <f>G97-G101-G102-G104</f>
        <v>253214.495</v>
      </c>
      <c r="H108" s="1022">
        <f>IF($F$4=0,0,F108/((($E$4*7)+($F$4*5))/12))</f>
        <v>0</v>
      </c>
    </row>
    <row r="109" spans="1:8" ht="16" customHeight="1" thickBot="1">
      <c r="A109" s="107"/>
      <c r="B109" s="58"/>
      <c r="C109" s="1040" t="s">
        <v>259</v>
      </c>
      <c r="D109" s="1041">
        <f>IF((D101+D102+D104)&lt;&gt;0,D97/(D101+D102+D104),0)*100</f>
        <v>0</v>
      </c>
      <c r="E109" s="1041">
        <f>IF((E101+E102+E104)&lt;&gt;0,E97/(E101+E102+E104),0)*100</f>
        <v>0</v>
      </c>
      <c r="F109" s="1041">
        <f>IF((F101+F102+F104)&lt;&gt;0,F97/(F101+F102+F104),0)*100</f>
        <v>0</v>
      </c>
      <c r="G109" s="1041">
        <f>IF((G101+G102+G104)&lt;&gt;0,G97/(G101+G102+G104),0)*100</f>
        <v>0</v>
      </c>
      <c r="H109" s="1041">
        <f>IF((H101+H102+H104)&lt;&gt;0,H97/(H101+H102+H104),0)*100</f>
        <v>0</v>
      </c>
    </row>
    <row r="110" spans="1:8" ht="16" customHeight="1" thickBot="1">
      <c r="A110" s="1042"/>
      <c r="B110" s="1043"/>
      <c r="C110" s="1044"/>
      <c r="D110" s="1044"/>
      <c r="E110" s="1044"/>
      <c r="F110" s="1044"/>
      <c r="G110" s="1044"/>
      <c r="H110" s="1045"/>
    </row>
    <row r="111" spans="1:8" ht="14" thickBot="1">
      <c r="A111" s="2836"/>
      <c r="B111" s="2836"/>
      <c r="C111" s="2837"/>
      <c r="D111" s="2837"/>
      <c r="E111" s="2837"/>
      <c r="F111" s="2837"/>
      <c r="G111" s="2837"/>
      <c r="H111" s="2837"/>
    </row>
    <row r="112" spans="1:8" ht="14" thickBot="1">
      <c r="A112" s="2701"/>
      <c r="B112" s="2701"/>
      <c r="C112" s="848" t="s">
        <v>260</v>
      </c>
      <c r="D112" s="1046">
        <f>budgetår</f>
        <v>2026</v>
      </c>
      <c r="E112" s="1047">
        <f>budgetår+1</f>
        <v>2027</v>
      </c>
    </row>
    <row r="113" spans="1:11" ht="14" thickBot="1">
      <c r="A113" s="2701"/>
      <c r="B113" s="2701"/>
      <c r="C113" s="1048" t="s">
        <v>261</v>
      </c>
      <c r="D113" s="1049">
        <f>F83</f>
        <v>126676</v>
      </c>
      <c r="E113" s="1050">
        <f>G83</f>
        <v>126538.495</v>
      </c>
    </row>
    <row r="114" spans="1:11" ht="14" thickBot="1">
      <c r="A114" s="2701"/>
      <c r="B114" s="2701"/>
      <c r="C114" s="849" t="s">
        <v>262</v>
      </c>
      <c r="D114" s="1051">
        <f>'Skolepenge, pasningsordning.'!H99</f>
        <v>0</v>
      </c>
      <c r="E114" s="1052">
        <f>'Skolepenge, pasningsordning.'!I99</f>
        <v>0</v>
      </c>
    </row>
    <row r="115" spans="1:11">
      <c r="A115" s="2701"/>
      <c r="B115" s="2701"/>
      <c r="C115" s="1053" t="s">
        <v>263</v>
      </c>
      <c r="D115" s="1054">
        <f>'lon undervisning'!AH94+'Lon pæd., TAP mm'!BZ84</f>
        <v>0</v>
      </c>
      <c r="E115" s="1055">
        <f>'lon undervisning'!AH96+'Lon pæd., TAP mm'!BZ85</f>
        <v>0</v>
      </c>
    </row>
    <row r="116" spans="1:11">
      <c r="A116" s="2701"/>
      <c r="B116" s="2701"/>
      <c r="C116" s="1056" t="s">
        <v>264</v>
      </c>
      <c r="D116" s="1057">
        <f>'Lon pæd., TAP mm'!W84</f>
        <v>0</v>
      </c>
      <c r="E116" s="1058">
        <f>'Lon pæd., TAP mm'!W85</f>
        <v>0</v>
      </c>
    </row>
    <row r="117" spans="1:11">
      <c r="A117" s="2701"/>
      <c r="B117" s="2701"/>
      <c r="C117" s="1056" t="s">
        <v>265</v>
      </c>
      <c r="D117" s="1057">
        <f>'Lon pæd., TAP mm'!CW84</f>
        <v>0</v>
      </c>
      <c r="E117" s="1058">
        <f>'Lon pæd., TAP mm'!CW85</f>
        <v>0</v>
      </c>
    </row>
    <row r="118" spans="1:11">
      <c r="A118" s="2701"/>
      <c r="B118" s="2701"/>
      <c r="C118" s="1056" t="s">
        <v>266</v>
      </c>
      <c r="D118" s="1057">
        <f>'Lon pæd., TAP mm'!DD84</f>
        <v>0</v>
      </c>
      <c r="E118" s="1058">
        <f>'Lon pæd., TAP mm'!DD85</f>
        <v>0</v>
      </c>
    </row>
    <row r="119" spans="1:11">
      <c r="A119" s="2701"/>
      <c r="B119" s="2701"/>
      <c r="C119" s="1056" t="s">
        <v>267</v>
      </c>
      <c r="D119" s="1057">
        <f>'Lon pæd., TAP mm'!CJ84</f>
        <v>0</v>
      </c>
      <c r="E119" s="1058">
        <f>'Lon pæd., TAP mm'!CJ85</f>
        <v>0</v>
      </c>
      <c r="I119" s="5"/>
      <c r="J119" s="11"/>
      <c r="K119" s="5"/>
    </row>
    <row r="120" spans="1:11">
      <c r="A120" s="2701"/>
      <c r="B120" s="2701"/>
      <c r="C120" s="1056" t="s">
        <v>268</v>
      </c>
      <c r="D120" s="1057">
        <f>'Lon pæd., TAP mm'!BA84</f>
        <v>0</v>
      </c>
      <c r="E120" s="1058">
        <f>'Lon pæd., TAP mm'!BA85</f>
        <v>0</v>
      </c>
    </row>
    <row r="121" spans="1:11" ht="14" thickBot="1">
      <c r="A121" s="2701"/>
      <c r="B121" s="2701"/>
      <c r="C121" s="1059" t="s">
        <v>269</v>
      </c>
      <c r="D121" s="1060">
        <f>'Lon pæd., TAP mm'!BN84</f>
        <v>0</v>
      </c>
      <c r="E121" s="1061">
        <f>'Lon pæd., TAP mm'!BN85</f>
        <v>0</v>
      </c>
    </row>
    <row r="122" spans="1:11" ht="15" customHeight="1" thickBot="1">
      <c r="A122" s="2701"/>
      <c r="B122" s="2701"/>
      <c r="C122" s="850" t="s">
        <v>270</v>
      </c>
      <c r="D122" s="851">
        <f>SUM(D115:D121)</f>
        <v>0</v>
      </c>
      <c r="E122" s="1062">
        <f>SUM(E115:E121)</f>
        <v>0</v>
      </c>
    </row>
    <row r="123" spans="1:11" ht="14" thickBot="1">
      <c r="A123" s="2701"/>
      <c r="B123" s="2701"/>
      <c r="C123" s="849" t="s">
        <v>271</v>
      </c>
      <c r="D123" s="1063">
        <f>budgetår</f>
        <v>2026</v>
      </c>
      <c r="E123" s="1064">
        <f>budgetår+1</f>
        <v>2027</v>
      </c>
    </row>
    <row r="124" spans="1:11">
      <c r="A124" s="2701"/>
      <c r="B124" s="2701"/>
      <c r="C124" s="1053" t="s">
        <v>272</v>
      </c>
      <c r="D124" s="1054">
        <f>'Undervisning-SFO udgifter'!E79</f>
        <v>0</v>
      </c>
      <c r="E124" s="1055">
        <f>'Undervisning-SFO udgifter'!E79+SUM('Undervisning-SFO udgifter'!F74:F78)</f>
        <v>0</v>
      </c>
    </row>
    <row r="125" spans="1:11">
      <c r="A125" s="2701"/>
      <c r="B125" s="2701"/>
      <c r="C125" s="1056" t="s">
        <v>273</v>
      </c>
      <c r="D125" s="1057">
        <f>'Undervisning-SFO udgifter'!E128</f>
        <v>0</v>
      </c>
      <c r="E125" s="1058">
        <f>'Undervisning-SFO udgifter'!E128+'Undervisning-SFO udgifter'!F128</f>
        <v>0</v>
      </c>
    </row>
    <row r="126" spans="1:11">
      <c r="A126" s="2701"/>
      <c r="B126" s="2701"/>
      <c r="C126" s="1056" t="s">
        <v>274</v>
      </c>
      <c r="D126" s="1057">
        <f>Daginstitution!E171</f>
        <v>0</v>
      </c>
      <c r="E126" s="1058">
        <f>Daginstitution!E171+SUM(Daginstitution!F168:H170)</f>
        <v>0</v>
      </c>
    </row>
    <row r="127" spans="1:11">
      <c r="A127" s="2701"/>
      <c r="B127" s="2701"/>
      <c r="C127" s="1056" t="s">
        <v>275</v>
      </c>
      <c r="D127" s="1057">
        <f>Skolemadsordning!E45</f>
        <v>0</v>
      </c>
      <c r="E127" s="1058">
        <f>Skolemadsordning!E45+SUM(Skolemadsordning!F43:F44)</f>
        <v>0</v>
      </c>
    </row>
    <row r="128" spans="1:11">
      <c r="A128" s="2701"/>
      <c r="B128" s="2701"/>
      <c r="C128" s="1056" t="s">
        <v>203</v>
      </c>
      <c r="D128" s="1057">
        <f>Ejendom!E97</f>
        <v>0</v>
      </c>
      <c r="E128" s="1058">
        <f>Ejendom!E97+Ejendom!F97</f>
        <v>0</v>
      </c>
    </row>
    <row r="129" spans="1:5">
      <c r="A129" s="2701"/>
      <c r="B129" s="2701"/>
      <c r="C129" s="1056" t="s">
        <v>276</v>
      </c>
      <c r="D129" s="1057">
        <f>Administration!E113</f>
        <v>0</v>
      </c>
      <c r="E129" s="1058">
        <f>Administration!E113+SUM(Administration!F111:F112)</f>
        <v>0</v>
      </c>
    </row>
    <row r="130" spans="1:5" ht="14" thickBot="1">
      <c r="A130" s="2701"/>
      <c r="B130" s="2701"/>
      <c r="C130" s="1059" t="s">
        <v>277</v>
      </c>
      <c r="D130" s="1060">
        <f>Administration!E151</f>
        <v>0</v>
      </c>
      <c r="E130" s="1061">
        <f>Administration!E151+SUM(Administration!F149:F150)</f>
        <v>0</v>
      </c>
    </row>
    <row r="131" spans="1:5" ht="14" thickBot="1">
      <c r="A131" s="2701"/>
      <c r="B131" s="2701"/>
      <c r="C131" s="849" t="s">
        <v>278</v>
      </c>
      <c r="D131" s="1065">
        <f>SUM(D124:D130)</f>
        <v>0</v>
      </c>
      <c r="E131" s="1062">
        <f>SUM(E124:E130)</f>
        <v>0</v>
      </c>
    </row>
    <row r="132" spans="1:5" ht="14" thickBot="1">
      <c r="A132" s="2701"/>
      <c r="B132" s="2701"/>
      <c r="C132" s="655" t="s">
        <v>279</v>
      </c>
      <c r="D132" s="1066">
        <f>'Prio-renter'!J25*-1</f>
        <v>0</v>
      </c>
      <c r="E132" s="1067">
        <f>('Prio-renter'!J25+'Prio-renter'!L23+'Prio-renter'!L17+'Prio-renter'!L11+'Prio-renter'!L6)*-1</f>
        <v>0</v>
      </c>
    </row>
    <row r="133" spans="1:5" ht="14" thickBot="1">
      <c r="A133" s="2701"/>
      <c r="B133" s="2701"/>
      <c r="C133" s="849" t="s">
        <v>280</v>
      </c>
      <c r="D133" s="1068">
        <f>SUM(D113:D132)-D122-D131-D123</f>
        <v>126676</v>
      </c>
      <c r="E133" s="1069">
        <f>SUM(E113:E132)-E122-E131-E123</f>
        <v>126538.495</v>
      </c>
    </row>
    <row r="134" spans="1:5">
      <c r="B134"/>
      <c r="C134"/>
      <c r="D134"/>
    </row>
    <row r="135" spans="1:5">
      <c r="B135"/>
      <c r="C135"/>
      <c r="D135"/>
    </row>
    <row r="136" spans="1:5">
      <c r="B136"/>
      <c r="C136"/>
      <c r="D136"/>
    </row>
    <row r="137" spans="1:5">
      <c r="B137"/>
      <c r="C137"/>
      <c r="D137"/>
    </row>
  </sheetData>
  <sheetProtection sheet="1" formatCells="0" formatColumns="0" formatRows="0"/>
  <mergeCells count="46">
    <mergeCell ref="A2:B9"/>
    <mergeCell ref="A64:B64"/>
    <mergeCell ref="A56:B56"/>
    <mergeCell ref="A63:B63"/>
    <mergeCell ref="A57:B57"/>
    <mergeCell ref="A58:B58"/>
    <mergeCell ref="A59:B59"/>
    <mergeCell ref="A61:B61"/>
    <mergeCell ref="A62:B62"/>
    <mergeCell ref="A39:B39"/>
    <mergeCell ref="A40:B40"/>
    <mergeCell ref="A43:B43"/>
    <mergeCell ref="A45:B45"/>
    <mergeCell ref="A42:B42"/>
    <mergeCell ref="C1:F1"/>
    <mergeCell ref="A18:B18"/>
    <mergeCell ref="A28:B28"/>
    <mergeCell ref="A34:B34"/>
    <mergeCell ref="A37:B37"/>
    <mergeCell ref="A29:B29"/>
    <mergeCell ref="A33:B33"/>
    <mergeCell ref="A15:B15"/>
    <mergeCell ref="A16:B16"/>
    <mergeCell ref="A32:B32"/>
    <mergeCell ref="A31:B31"/>
    <mergeCell ref="A35:B35"/>
    <mergeCell ref="A36:B36"/>
    <mergeCell ref="C11:H11"/>
    <mergeCell ref="F2:F3"/>
    <mergeCell ref="C30:H30"/>
    <mergeCell ref="A111:B133"/>
    <mergeCell ref="C111:H111"/>
    <mergeCell ref="A46:B46"/>
    <mergeCell ref="A47:B47"/>
    <mergeCell ref="A48:B48"/>
    <mergeCell ref="A49:B49"/>
    <mergeCell ref="A50:B50"/>
    <mergeCell ref="A51:B51"/>
    <mergeCell ref="A52:B52"/>
    <mergeCell ref="A53:B53"/>
    <mergeCell ref="C2:C3"/>
    <mergeCell ref="C44:H44"/>
    <mergeCell ref="C54:H54"/>
    <mergeCell ref="C60:H60"/>
    <mergeCell ref="C14:H14"/>
    <mergeCell ref="C22:H22"/>
  </mergeCells>
  <phoneticPr fontId="55" type="noConversion"/>
  <conditionalFormatting sqref="D67">
    <cfRule type="iconSet" priority="4">
      <iconSet iconSet="3Arrows">
        <cfvo type="percent" val="0"/>
        <cfvo type="num" val="0"/>
        <cfvo type="num" val="50000"/>
      </iconSet>
    </cfRule>
  </conditionalFormatting>
  <conditionalFormatting sqref="D83">
    <cfRule type="iconSet" priority="3">
      <iconSet iconSet="3Arrows">
        <cfvo type="percent" val="0"/>
        <cfvo type="num" val="0"/>
        <cfvo type="num" val="50000"/>
      </iconSet>
    </cfRule>
  </conditionalFormatting>
  <conditionalFormatting sqref="E67:G67">
    <cfRule type="iconSet" priority="8">
      <iconSet iconSet="3Arrows">
        <cfvo type="percent" val="0"/>
        <cfvo type="num" val="0"/>
        <cfvo type="num" val="50000"/>
      </iconSet>
    </cfRule>
  </conditionalFormatting>
  <conditionalFormatting sqref="E83:G83">
    <cfRule type="iconSet" priority="7">
      <iconSet iconSet="3Arrows">
        <cfvo type="percent" val="0"/>
        <cfvo type="num" val="0"/>
        <cfvo type="num" val="50000"/>
      </iconSet>
    </cfRule>
  </conditionalFormatting>
  <dataValidations count="2">
    <dataValidation type="whole" allowBlank="1" showInputMessage="1" showErrorMessage="1" errorTitle="OBS" error="Refusioner tastes som negative beløb" sqref="D32:E32 D38:E38 D56:E56 D34:E34 D36:E36 D46:E46 D62:E62" xr:uid="{00000000-0002-0000-0300-000000000000}">
      <formula1>-5000000000</formula1>
      <formula2>-1</formula2>
    </dataValidation>
    <dataValidation allowBlank="1" showInputMessage="1" showErrorMessage="1" errorTitle="OBS" error="Refusioner tastes som negative beløb" sqref="D55" xr:uid="{00000000-0002-0000-0300-000001000000}"/>
  </dataValidations>
  <printOptions horizontalCentered="1"/>
  <pageMargins left="0.25" right="0.25" top="0.75" bottom="0.75" header="0.3" footer="0.3"/>
  <pageSetup paperSize="9" scale="53" fitToHeight="2" orientation="portrait"/>
  <headerFooter alignWithMargins="0">
    <oddHeader>&amp;C&amp;"Arial,Fed"&amp;12HOVEDSKEMA</oddHeader>
    <oddFooter>&amp;L&amp;G&amp;R
&amp;D
&amp;A</oddFooter>
  </headerFooter>
  <rowBreaks count="1" manualBreakCount="1">
    <brk id="84" max="16383" man="1"/>
  </rowBreaks>
  <drawing r:id="rId1"/>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249977111117893"/>
    <pageSetUpPr fitToPage="1"/>
  </sheetPr>
  <dimension ref="A2:I24"/>
  <sheetViews>
    <sheetView workbookViewId="0">
      <selection activeCell="E33" sqref="E33"/>
    </sheetView>
  </sheetViews>
  <sheetFormatPr baseColWidth="10" defaultColWidth="11.5" defaultRowHeight="13"/>
  <sheetData>
    <row r="2" spans="1:9" ht="28">
      <c r="A2" s="1070" t="s">
        <v>281</v>
      </c>
      <c r="B2" s="1071" t="s">
        <v>282</v>
      </c>
      <c r="C2" s="1071" t="s">
        <v>283</v>
      </c>
      <c r="D2" s="1071" t="s">
        <v>284</v>
      </c>
      <c r="E2" s="1071" t="s">
        <v>285</v>
      </c>
      <c r="F2" s="1071" t="s">
        <v>286</v>
      </c>
      <c r="G2" s="1071" t="s">
        <v>287</v>
      </c>
      <c r="H2" s="1071" t="s">
        <v>288</v>
      </c>
      <c r="I2" s="1072" t="s">
        <v>289</v>
      </c>
    </row>
    <row r="3" spans="1:9">
      <c r="A3" s="1073" t="s">
        <v>290</v>
      </c>
      <c r="B3" s="1074">
        <v>365</v>
      </c>
      <c r="C3" s="1074">
        <v>105</v>
      </c>
      <c r="D3" s="1074">
        <v>6</v>
      </c>
      <c r="E3" s="1075">
        <v>37068</v>
      </c>
      <c r="F3" s="1075">
        <v>37467</v>
      </c>
      <c r="G3" s="1076">
        <v>25</v>
      </c>
      <c r="H3" s="1077">
        <v>229</v>
      </c>
      <c r="I3" s="1078">
        <v>1694.6</v>
      </c>
    </row>
    <row r="4" spans="1:9">
      <c r="A4" s="286" t="s">
        <v>291</v>
      </c>
      <c r="B4" s="287">
        <v>365</v>
      </c>
      <c r="C4" s="287">
        <v>104</v>
      </c>
      <c r="D4" s="287">
        <v>7</v>
      </c>
      <c r="E4" s="288">
        <v>37433</v>
      </c>
      <c r="F4" s="288">
        <v>37467</v>
      </c>
      <c r="G4" s="289">
        <v>25</v>
      </c>
      <c r="H4" s="290">
        <v>229</v>
      </c>
      <c r="I4" s="291">
        <v>1687.2</v>
      </c>
    </row>
    <row r="5" spans="1:9">
      <c r="A5" s="286" t="s">
        <v>292</v>
      </c>
      <c r="B5" s="287">
        <v>365</v>
      </c>
      <c r="C5" s="287">
        <v>104</v>
      </c>
      <c r="D5" s="287">
        <v>9</v>
      </c>
      <c r="E5" s="288">
        <v>37803</v>
      </c>
      <c r="F5" s="288">
        <v>37835</v>
      </c>
      <c r="G5" s="289">
        <v>22</v>
      </c>
      <c r="H5" s="290">
        <v>230</v>
      </c>
      <c r="I5" s="291">
        <v>1694.6</v>
      </c>
    </row>
    <row r="6" spans="1:9">
      <c r="A6" s="286" t="s">
        <v>293</v>
      </c>
      <c r="B6" s="287">
        <v>366</v>
      </c>
      <c r="C6" s="287">
        <v>104</v>
      </c>
      <c r="D6" s="287">
        <v>9</v>
      </c>
      <c r="E6" s="288">
        <v>38171</v>
      </c>
      <c r="F6" s="288">
        <v>38205</v>
      </c>
      <c r="G6" s="289">
        <v>23</v>
      </c>
      <c r="H6" s="290">
        <v>230</v>
      </c>
      <c r="I6" s="291">
        <v>1687.2</v>
      </c>
    </row>
    <row r="7" spans="1:9">
      <c r="A7" s="286" t="s">
        <v>294</v>
      </c>
      <c r="B7" s="287">
        <v>365</v>
      </c>
      <c r="C7" s="287">
        <v>104</v>
      </c>
      <c r="D7" s="287">
        <v>9</v>
      </c>
      <c r="E7" s="288">
        <v>38538</v>
      </c>
      <c r="F7" s="288">
        <v>38570</v>
      </c>
      <c r="G7" s="289">
        <v>25</v>
      </c>
      <c r="H7" s="290">
        <v>227</v>
      </c>
      <c r="I7" s="291">
        <v>1672.4</v>
      </c>
    </row>
    <row r="8" spans="1:9">
      <c r="A8" s="286" t="s">
        <v>295</v>
      </c>
      <c r="B8" s="287">
        <v>365</v>
      </c>
      <c r="C8" s="287">
        <v>105</v>
      </c>
      <c r="D8" s="287">
        <v>8</v>
      </c>
      <c r="E8" s="288">
        <v>38902</v>
      </c>
      <c r="F8" s="288">
        <v>38934</v>
      </c>
      <c r="G8" s="289">
        <v>25</v>
      </c>
      <c r="H8" s="290">
        <v>227</v>
      </c>
      <c r="I8" s="291">
        <v>1679.8</v>
      </c>
    </row>
    <row r="9" spans="1:9">
      <c r="A9" s="286" t="s">
        <v>296</v>
      </c>
      <c r="B9" s="287">
        <v>365</v>
      </c>
      <c r="C9" s="287">
        <v>105</v>
      </c>
      <c r="D9" s="287">
        <v>6</v>
      </c>
      <c r="E9" s="288">
        <v>39266</v>
      </c>
      <c r="F9" s="288">
        <v>39298</v>
      </c>
      <c r="G9" s="289">
        <v>25</v>
      </c>
      <c r="H9" s="290">
        <v>229</v>
      </c>
      <c r="I9" s="291">
        <v>1694.6</v>
      </c>
    </row>
    <row r="10" spans="1:9">
      <c r="A10" s="286" t="s">
        <v>297</v>
      </c>
      <c r="B10" s="287">
        <v>366</v>
      </c>
      <c r="C10" s="287">
        <v>104</v>
      </c>
      <c r="D10" s="287">
        <v>7</v>
      </c>
      <c r="E10" s="288">
        <v>39632</v>
      </c>
      <c r="F10" s="288">
        <v>39666</v>
      </c>
      <c r="G10" s="289">
        <v>25</v>
      </c>
      <c r="H10" s="290">
        <v>230</v>
      </c>
      <c r="I10" s="291">
        <v>1687.2</v>
      </c>
    </row>
    <row r="11" spans="1:9">
      <c r="A11" s="286" t="s">
        <v>298</v>
      </c>
      <c r="B11" s="287">
        <v>365</v>
      </c>
      <c r="C11" s="287">
        <v>104</v>
      </c>
      <c r="D11" s="287">
        <v>9</v>
      </c>
      <c r="E11" s="288">
        <v>39997</v>
      </c>
      <c r="F11" s="288">
        <v>40031</v>
      </c>
      <c r="G11" s="289">
        <v>25</v>
      </c>
      <c r="H11" s="290">
        <v>227</v>
      </c>
      <c r="I11" s="291">
        <v>1672.4</v>
      </c>
    </row>
    <row r="12" spans="1:9">
      <c r="A12" s="286" t="s">
        <v>299</v>
      </c>
      <c r="B12" s="287">
        <v>365</v>
      </c>
      <c r="C12" s="287">
        <v>104</v>
      </c>
      <c r="D12" s="287">
        <v>9</v>
      </c>
      <c r="E12" s="288">
        <v>40362</v>
      </c>
      <c r="F12" s="288">
        <v>40396</v>
      </c>
      <c r="G12" s="289">
        <v>25</v>
      </c>
      <c r="H12" s="290">
        <v>227</v>
      </c>
      <c r="I12" s="291">
        <v>1672.4</v>
      </c>
    </row>
    <row r="13" spans="1:9">
      <c r="A13" s="286" t="s">
        <v>300</v>
      </c>
      <c r="B13" s="287">
        <v>365</v>
      </c>
      <c r="C13" s="287">
        <v>104</v>
      </c>
      <c r="D13" s="287">
        <v>9</v>
      </c>
      <c r="E13" s="288">
        <v>40729</v>
      </c>
      <c r="F13" s="288">
        <v>40761</v>
      </c>
      <c r="G13" s="289">
        <v>25</v>
      </c>
      <c r="H13" s="290">
        <v>227</v>
      </c>
      <c r="I13" s="291">
        <v>1679.8</v>
      </c>
    </row>
    <row r="14" spans="1:9">
      <c r="A14" s="286" t="s">
        <v>301</v>
      </c>
      <c r="B14" s="287">
        <v>366</v>
      </c>
      <c r="C14" s="287">
        <v>106</v>
      </c>
      <c r="D14" s="287">
        <v>8</v>
      </c>
      <c r="E14" s="288">
        <v>41093</v>
      </c>
      <c r="F14" s="288">
        <v>41125</v>
      </c>
      <c r="G14" s="289">
        <v>25</v>
      </c>
      <c r="H14" s="290">
        <v>227</v>
      </c>
      <c r="I14" s="291">
        <v>1679.8</v>
      </c>
    </row>
    <row r="15" spans="1:9">
      <c r="A15" s="286" t="s">
        <v>302</v>
      </c>
      <c r="B15" s="287">
        <v>365</v>
      </c>
      <c r="C15" s="287">
        <v>104</v>
      </c>
      <c r="D15" s="287">
        <v>7</v>
      </c>
      <c r="E15" s="288">
        <v>41458</v>
      </c>
      <c r="F15" s="288">
        <v>41492</v>
      </c>
      <c r="G15" s="289">
        <v>25</v>
      </c>
      <c r="H15" s="290">
        <v>229</v>
      </c>
      <c r="I15" s="291">
        <v>1694.6</v>
      </c>
    </row>
    <row r="16" spans="1:9">
      <c r="A16" s="286" t="s">
        <v>303</v>
      </c>
      <c r="B16" s="287">
        <v>365</v>
      </c>
      <c r="C16" s="287">
        <v>104</v>
      </c>
      <c r="D16" s="287">
        <v>9</v>
      </c>
      <c r="E16" s="288">
        <v>41827</v>
      </c>
      <c r="F16" s="288">
        <v>41857</v>
      </c>
      <c r="G16" s="289">
        <v>25</v>
      </c>
      <c r="H16" s="290">
        <v>227</v>
      </c>
      <c r="I16" s="291">
        <v>1679.8</v>
      </c>
    </row>
    <row r="17" spans="1:9">
      <c r="A17" s="286" t="s">
        <v>304</v>
      </c>
      <c r="B17" s="287">
        <v>365</v>
      </c>
      <c r="C17" s="287">
        <v>104</v>
      </c>
      <c r="D17" s="287">
        <v>9</v>
      </c>
      <c r="E17" s="288">
        <v>42188</v>
      </c>
      <c r="F17" s="288">
        <v>42222</v>
      </c>
      <c r="G17" s="289">
        <v>25</v>
      </c>
      <c r="H17" s="290">
        <v>227</v>
      </c>
      <c r="I17" s="291">
        <v>1679.8</v>
      </c>
    </row>
    <row r="18" spans="1:9">
      <c r="A18" s="1079" t="s">
        <v>305</v>
      </c>
      <c r="B18" s="1080">
        <v>366</v>
      </c>
      <c r="C18" s="1080">
        <v>104</v>
      </c>
      <c r="D18" s="1080">
        <v>9</v>
      </c>
      <c r="E18" s="1081">
        <v>42556</v>
      </c>
      <c r="F18" s="1081">
        <v>42588</v>
      </c>
      <c r="G18" s="1082">
        <v>25</v>
      </c>
      <c r="H18" s="1083">
        <v>228</v>
      </c>
      <c r="I18" s="292">
        <v>1687.2</v>
      </c>
    </row>
    <row r="20" spans="1:9">
      <c r="A20" s="182" t="s">
        <v>306</v>
      </c>
    </row>
    <row r="21" spans="1:9">
      <c r="A21" s="182" t="s">
        <v>307</v>
      </c>
    </row>
    <row r="22" spans="1:9">
      <c r="A22" t="s">
        <v>308</v>
      </c>
    </row>
    <row r="24" spans="1:9">
      <c r="A24" s="194" t="s">
        <v>309</v>
      </c>
    </row>
  </sheetData>
  <sheetProtection sheet="1" objects="1" scenarios="1"/>
  <phoneticPr fontId="55" type="noConversion"/>
  <pageMargins left="0.75000000000000011" right="0.75000000000000011" top="1" bottom="1" header="0.5" footer="0.5"/>
  <pageSetup paperSize="9" scale="82" orientation="portrait" horizontalDpi="4294967292" verticalDpi="429496729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3">
    <tabColor theme="6" tint="0.59999389629810485"/>
    <pageSetUpPr fitToPage="1"/>
  </sheetPr>
  <dimension ref="A1:R133"/>
  <sheetViews>
    <sheetView zoomScale="143" zoomScaleNormal="140" zoomScaleSheetLayoutView="100" workbookViewId="0">
      <selection activeCell="E54" sqref="E54"/>
    </sheetView>
  </sheetViews>
  <sheetFormatPr baseColWidth="10" defaultColWidth="10.83203125" defaultRowHeight="13"/>
  <cols>
    <col min="1" max="1" width="10.83203125" style="12"/>
    <col min="2" max="2" width="13.1640625" style="12" customWidth="1"/>
    <col min="3" max="3" width="13.5" style="12" customWidth="1"/>
    <col min="4" max="4" width="11.5" style="12" customWidth="1"/>
    <col min="5" max="5" width="14.5" style="12" customWidth="1"/>
    <col min="6" max="6" width="10.83203125" style="12"/>
    <col min="7" max="7" width="16.5" style="12" customWidth="1"/>
    <col min="8" max="8" width="10.5" style="12" customWidth="1"/>
    <col min="9" max="9" width="14.5" style="12" customWidth="1"/>
    <col min="10" max="10" width="14" style="12" customWidth="1"/>
    <col min="11" max="11" width="14.1640625" style="12" customWidth="1"/>
    <col min="12" max="16384" width="10.83203125" style="12"/>
  </cols>
  <sheetData>
    <row r="1" spans="1:11" s="97" customFormat="1" ht="27" customHeight="1" thickBot="1">
      <c r="A1" s="1084"/>
      <c r="B1" s="1084"/>
      <c r="C1" s="1084"/>
      <c r="D1" s="1084"/>
      <c r="E1" s="1084"/>
      <c r="F1" s="1084"/>
      <c r="G1" s="1084"/>
      <c r="H1" s="1084"/>
      <c r="I1" s="1084"/>
      <c r="J1" s="1084"/>
      <c r="K1" s="1084"/>
    </row>
    <row r="2" spans="1:11" ht="23">
      <c r="A2" s="219"/>
      <c r="F2" s="220" t="s">
        <v>310</v>
      </c>
    </row>
    <row r="3" spans="1:11" ht="6" customHeight="1">
      <c r="F3" s="220"/>
    </row>
    <row r="4" spans="1:11" ht="12" customHeight="1" thickBot="1">
      <c r="F4" s="220"/>
    </row>
    <row r="5" spans="1:11" ht="21" customHeight="1">
      <c r="A5" s="1085" t="str">
        <f>"Beregning af driftstilskud for "&amp;budgetår</f>
        <v>Beregning af driftstilskud for 2026</v>
      </c>
      <c r="B5" s="1086"/>
      <c r="C5" s="1086"/>
      <c r="D5" s="1086"/>
      <c r="E5" s="1086"/>
      <c r="F5" s="1086"/>
      <c r="G5" s="1086"/>
      <c r="H5" s="1086"/>
      <c r="I5" s="1086"/>
      <c r="J5" s="1086"/>
      <c r="K5" s="1087"/>
    </row>
    <row r="6" spans="1:11" ht="21" customHeight="1">
      <c r="A6" s="1088" t="str">
        <f>"Grundtilskud 10.000 kr pr. elev 5/9-"&amp;budgetår-1&amp;" (max 400.000 kr.)"</f>
        <v>Grundtilskud 10.000 kr pr. elev 5/9-2025 (max 400.000 kr.)</v>
      </c>
      <c r="B6" s="1089"/>
      <c r="C6" s="1089"/>
      <c r="D6" s="1089"/>
      <c r="E6" s="1089"/>
      <c r="F6" s="1089"/>
      <c r="G6" s="1090" t="str">
        <f>"("&amp;Grundtilsk_1&amp;" x"&amp;elevtal_1&amp;")"</f>
        <v>(10000 x0)</v>
      </c>
      <c r="H6" s="1089"/>
      <c r="I6" s="1089"/>
      <c r="J6" s="1091"/>
      <c r="K6" s="1092">
        <f>MIN(400000,J8*Grundtilsk_1)</f>
        <v>0</v>
      </c>
    </row>
    <row r="7" spans="1:11" ht="6" customHeight="1" thickBot="1">
      <c r="A7" s="778"/>
      <c r="B7" s="85"/>
      <c r="C7" s="85"/>
      <c r="D7" s="85"/>
      <c r="E7" s="85"/>
      <c r="F7" s="85"/>
      <c r="G7" s="221"/>
      <c r="H7" s="85"/>
      <c r="I7" s="85"/>
      <c r="J7" s="222"/>
      <c r="K7" s="779"/>
    </row>
    <row r="8" spans="1:11" ht="18.75" customHeight="1" thickBot="1">
      <c r="A8" s="780" t="s">
        <v>311</v>
      </c>
      <c r="B8" s="222"/>
      <c r="C8" s="222"/>
      <c r="D8" s="222"/>
      <c r="E8" s="222"/>
      <c r="F8" s="222"/>
      <c r="G8" s="222"/>
      <c r="H8" s="222"/>
      <c r="I8" s="223" t="str">
        <f>"Elevtal 5/9- "&amp;budgetår-1</f>
        <v>Elevtal 5/9- 2025</v>
      </c>
      <c r="J8" s="1093">
        <f>elevtal_1</f>
        <v>0</v>
      </c>
      <c r="K8" s="236"/>
    </row>
    <row r="9" spans="1:11" ht="4" customHeight="1">
      <c r="A9" s="780"/>
      <c r="B9" s="222"/>
      <c r="C9" s="222"/>
      <c r="D9" s="222"/>
      <c r="E9" s="222"/>
      <c r="F9" s="222"/>
      <c r="G9" s="222"/>
      <c r="H9" s="222"/>
      <c r="I9" s="222"/>
      <c r="J9" s="222"/>
      <c r="K9" s="781"/>
    </row>
    <row r="10" spans="1:11" ht="17" customHeight="1">
      <c r="A10" s="780" t="str">
        <f>"Fordeling af elever 5/9-"&amp;budgetår-1&amp;":"</f>
        <v>Fordeling af elever 5/9-2025:</v>
      </c>
      <c r="B10" s="222"/>
      <c r="C10" s="222"/>
      <c r="D10" s="222"/>
      <c r="E10" s="222"/>
      <c r="F10" s="222"/>
      <c r="G10" s="222"/>
      <c r="H10" s="222"/>
      <c r="I10" s="222"/>
      <c r="J10" s="222"/>
      <c r="K10" s="236"/>
    </row>
    <row r="11" spans="1:11" ht="5" customHeight="1">
      <c r="A11" s="780"/>
      <c r="B11" s="222"/>
      <c r="C11" s="222"/>
      <c r="D11" s="224"/>
      <c r="E11" s="222"/>
      <c r="F11" s="222"/>
      <c r="G11" s="222"/>
      <c r="H11" s="224"/>
      <c r="I11" s="222"/>
      <c r="J11" s="225"/>
      <c r="K11" s="236"/>
    </row>
    <row r="12" spans="1:11" ht="18" customHeight="1">
      <c r="A12" s="1094"/>
      <c r="B12" s="1095" t="str">
        <f>"Elever pr. 5/9- "&amp;budgetår-1&amp;" : "</f>
        <v xml:space="preserve">Elever pr. 5/9- 2025 : </v>
      </c>
      <c r="C12" s="1095" t="s">
        <v>312</v>
      </c>
      <c r="D12" s="1096">
        <f>elevu13_1</f>
        <v>0</v>
      </c>
      <c r="E12" s="1091"/>
      <c r="F12" s="1095" t="s">
        <v>313</v>
      </c>
      <c r="G12" s="1096">
        <f>elevo13_1</f>
        <v>0</v>
      </c>
      <c r="H12" s="1091"/>
      <c r="I12" s="1097" t="s">
        <v>314</v>
      </c>
      <c r="J12" s="1096">
        <f>elev10kl_1</f>
        <v>0</v>
      </c>
      <c r="K12" s="782"/>
    </row>
    <row r="13" spans="1:11" ht="6" customHeight="1">
      <c r="A13" s="780"/>
      <c r="B13" s="222"/>
      <c r="C13" s="222"/>
      <c r="D13" s="222"/>
      <c r="E13" s="226"/>
      <c r="F13" s="222"/>
      <c r="G13" s="222"/>
      <c r="H13" s="226"/>
      <c r="I13" s="222"/>
      <c r="J13" s="222"/>
      <c r="K13" s="782"/>
    </row>
    <row r="14" spans="1:11" ht="17" customHeight="1">
      <c r="A14" s="780" t="s">
        <v>315</v>
      </c>
      <c r="B14" s="222"/>
      <c r="C14" s="222"/>
      <c r="D14" s="227"/>
      <c r="E14" s="222"/>
      <c r="F14" s="222"/>
      <c r="G14" s="227"/>
      <c r="H14" s="43"/>
      <c r="I14" s="222"/>
      <c r="J14" s="222"/>
      <c r="K14" s="783"/>
    </row>
    <row r="15" spans="1:11" ht="17" customHeight="1">
      <c r="A15" s="780"/>
      <c r="B15" s="2896"/>
      <c r="C15" s="1098" t="s">
        <v>316</v>
      </c>
      <c r="D15" s="1099"/>
      <c r="E15" s="1099"/>
      <c r="F15" s="1100">
        <f>FaeUdgSmaa</f>
        <v>8330</v>
      </c>
      <c r="G15" s="1101">
        <f>IF(elevtal_1&gt;220,220,elevtal_1)</f>
        <v>0</v>
      </c>
      <c r="H15" s="1091" t="s">
        <v>317</v>
      </c>
      <c r="I15" s="1102">
        <f>MIN(J8,220)*F15</f>
        <v>0</v>
      </c>
      <c r="J15" s="228"/>
      <c r="K15" s="236"/>
    </row>
    <row r="16" spans="1:11" ht="18" customHeight="1">
      <c r="A16" s="780"/>
      <c r="B16" s="2896"/>
      <c r="C16" s="1098" t="s">
        <v>318</v>
      </c>
      <c r="D16" s="1099"/>
      <c r="E16" s="1099"/>
      <c r="F16" s="1100">
        <f>FaeUdgStore</f>
        <v>3332</v>
      </c>
      <c r="G16" s="1101">
        <f>IF(elevtal_1&gt;220,elevtal_1-220,0)</f>
        <v>0</v>
      </c>
      <c r="H16" s="1103" t="s">
        <v>317</v>
      </c>
      <c r="I16" s="1102">
        <f>MAX(0,J8-220)*F16</f>
        <v>0</v>
      </c>
      <c r="J16" s="1102">
        <f>SUM(I15:I16)</f>
        <v>0</v>
      </c>
      <c r="K16" s="236"/>
    </row>
    <row r="17" spans="1:18" ht="5" customHeight="1">
      <c r="A17" s="780"/>
      <c r="B17" s="222"/>
      <c r="C17" s="222"/>
      <c r="D17" s="222"/>
      <c r="E17" s="222"/>
      <c r="F17" s="222"/>
      <c r="G17" s="229"/>
      <c r="H17" s="222"/>
      <c r="I17" s="228"/>
      <c r="J17" s="228"/>
      <c r="K17" s="782"/>
    </row>
    <row r="18" spans="1:18" ht="15.75" customHeight="1">
      <c r="A18" s="780" t="s">
        <v>319</v>
      </c>
      <c r="B18" s="222"/>
      <c r="C18" s="222"/>
      <c r="D18" s="222"/>
      <c r="E18" s="222"/>
      <c r="F18" s="222"/>
      <c r="G18" s="229"/>
      <c r="H18" s="222"/>
      <c r="I18" s="228"/>
      <c r="J18" s="228"/>
      <c r="K18" s="784"/>
    </row>
    <row r="19" spans="1:18" ht="15.75" customHeight="1">
      <c r="A19" s="780"/>
      <c r="B19" s="2882"/>
      <c r="C19" s="2883" t="s">
        <v>320</v>
      </c>
      <c r="D19" s="2884"/>
      <c r="E19" s="2885"/>
      <c r="F19" s="1104">
        <f>UvTaxU13</f>
        <v>43734</v>
      </c>
      <c r="G19" s="1101">
        <f>elevu13_1</f>
        <v>0</v>
      </c>
      <c r="H19" s="1091" t="s">
        <v>317</v>
      </c>
      <c r="I19" s="1102">
        <f>F19*D12</f>
        <v>0</v>
      </c>
      <c r="J19" s="228"/>
      <c r="K19" s="236"/>
    </row>
    <row r="20" spans="1:18" ht="15.75" customHeight="1">
      <c r="A20" s="780"/>
      <c r="B20" s="2882"/>
      <c r="C20" s="2879" t="s">
        <v>321</v>
      </c>
      <c r="D20" s="2880"/>
      <c r="E20" s="2881"/>
      <c r="F20" s="1100">
        <f>UvTaxO13</f>
        <v>57729</v>
      </c>
      <c r="G20" s="1105">
        <f>elevo13_1</f>
        <v>0</v>
      </c>
      <c r="H20" s="1103" t="s">
        <v>317</v>
      </c>
      <c r="I20" s="1102">
        <f>F20*G12</f>
        <v>0</v>
      </c>
      <c r="J20" s="228"/>
      <c r="K20" s="236"/>
      <c r="R20" s="13"/>
    </row>
    <row r="21" spans="1:18" ht="15.75" customHeight="1">
      <c r="A21" s="780"/>
      <c r="B21" s="2882"/>
      <c r="C21" s="1106" t="s">
        <v>322</v>
      </c>
      <c r="D21" s="1107"/>
      <c r="E21" s="1108"/>
      <c r="F21" s="1109">
        <f>UvTax10kl</f>
        <v>56624</v>
      </c>
      <c r="G21" s="1110">
        <f>elev10kl_1</f>
        <v>0</v>
      </c>
      <c r="H21" s="1103" t="s">
        <v>317</v>
      </c>
      <c r="I21" s="1102">
        <f>F21*J12</f>
        <v>0</v>
      </c>
      <c r="J21" s="1102">
        <f>SUM(I19:I21)</f>
        <v>0</v>
      </c>
      <c r="K21" s="236"/>
      <c r="R21" s="13"/>
    </row>
    <row r="22" spans="1:18" ht="15.75" customHeight="1">
      <c r="A22" s="780"/>
      <c r="B22" s="43"/>
      <c r="C22" s="230"/>
      <c r="D22" s="231"/>
      <c r="E22" s="232"/>
      <c r="F22" s="233"/>
      <c r="G22" s="234"/>
      <c r="H22" s="222"/>
      <c r="I22" s="235"/>
      <c r="J22" s="235"/>
      <c r="K22" s="236"/>
      <c r="R22" s="13"/>
    </row>
    <row r="23" spans="1:18" ht="11" customHeight="1">
      <c r="A23" s="780"/>
      <c r="B23" s="222"/>
      <c r="C23" s="237"/>
      <c r="D23" s="43"/>
      <c r="E23" s="43"/>
      <c r="F23" s="238"/>
      <c r="G23" s="237"/>
      <c r="H23" s="222"/>
      <c r="I23" s="222"/>
      <c r="J23" s="226"/>
      <c r="K23" s="783"/>
    </row>
    <row r="24" spans="1:18" ht="21" customHeight="1">
      <c r="A24" s="780" t="s">
        <v>323</v>
      </c>
      <c r="B24" s="222"/>
      <c r="C24" s="222"/>
      <c r="D24" s="43"/>
      <c r="E24" s="238"/>
      <c r="F24" s="239" t="s">
        <v>324</v>
      </c>
      <c r="G24" s="1111">
        <f>IF(Forside!G12&gt;=4,1.02,1)</f>
        <v>1</v>
      </c>
      <c r="H24" s="240"/>
      <c r="I24" s="240"/>
      <c r="J24" s="785" t="s">
        <v>325</v>
      </c>
      <c r="K24" s="1112">
        <f>(K6+J16+J21)*G24</f>
        <v>0</v>
      </c>
    </row>
    <row r="25" spans="1:18" ht="15" customHeight="1">
      <c r="A25" s="1113"/>
      <c r="B25" s="1114"/>
      <c r="C25" s="1114"/>
      <c r="D25" s="1114"/>
      <c r="E25" s="1114"/>
      <c r="F25" s="1114"/>
      <c r="G25" s="1114"/>
      <c r="H25" s="1091"/>
      <c r="I25" s="1091"/>
      <c r="J25" s="1091"/>
      <c r="K25" s="1115"/>
    </row>
    <row r="26" spans="1:18" ht="22" customHeight="1">
      <c r="A26" s="786" t="str">
        <f>"Regulering af driftstilskud for de sidste 5 mdr. af "&amp;budgetår</f>
        <v>Regulering af driftstilskud for de sidste 5 mdr. af 2026</v>
      </c>
      <c r="B26" s="241"/>
      <c r="C26" s="241"/>
      <c r="D26" s="241"/>
      <c r="E26" s="241"/>
      <c r="F26" s="241"/>
      <c r="G26" s="241"/>
      <c r="H26" s="241"/>
      <c r="I26" s="241"/>
      <c r="J26" s="241"/>
      <c r="K26" s="787"/>
    </row>
    <row r="27" spans="1:18" ht="5" customHeight="1">
      <c r="A27" s="780"/>
      <c r="B27" s="222"/>
      <c r="C27" s="222"/>
      <c r="D27" s="222"/>
      <c r="E27" s="222"/>
      <c r="F27" s="222"/>
      <c r="G27" s="222"/>
      <c r="H27" s="222"/>
      <c r="I27" s="222"/>
      <c r="J27" s="222"/>
      <c r="K27" s="784"/>
    </row>
    <row r="28" spans="1:18" ht="15" customHeight="1">
      <c r="A28" s="788"/>
      <c r="B28" s="222"/>
      <c r="C28" s="242"/>
      <c r="D28" s="238"/>
      <c r="E28" s="222"/>
      <c r="F28" s="222"/>
      <c r="G28" s="222"/>
      <c r="H28" s="224"/>
      <c r="I28" s="223" t="str">
        <f>"Elevtal 5/9 "&amp;budgetår&amp;" :"</f>
        <v>Elevtal 5/9 2026 :</v>
      </c>
      <c r="J28" s="1116">
        <f>Elevtal</f>
        <v>0</v>
      </c>
      <c r="K28" s="236"/>
    </row>
    <row r="29" spans="1:18" ht="6" customHeight="1">
      <c r="A29" s="788"/>
      <c r="B29" s="222"/>
      <c r="C29" s="242"/>
      <c r="D29" s="238"/>
      <c r="E29" s="222"/>
      <c r="F29" s="223"/>
      <c r="G29" s="238"/>
      <c r="H29" s="224"/>
      <c r="I29" s="243"/>
      <c r="J29" s="223"/>
      <c r="K29" s="783"/>
    </row>
    <row r="30" spans="1:18" ht="15" customHeight="1">
      <c r="A30" s="780" t="str">
        <f>"Fordeling af elever 5/9-"&amp;budgetår&amp;":"</f>
        <v>Fordeling af elever 5/9-2026:</v>
      </c>
      <c r="B30" s="222"/>
      <c r="C30" s="222"/>
      <c r="D30" s="224"/>
      <c r="E30" s="222"/>
      <c r="F30" s="222"/>
      <c r="G30" s="222"/>
      <c r="H30" s="224"/>
      <c r="I30" s="222"/>
      <c r="J30" s="225"/>
      <c r="K30" s="236"/>
    </row>
    <row r="31" spans="1:18" ht="6" customHeight="1">
      <c r="A31" s="780"/>
      <c r="B31" s="222"/>
      <c r="C31" s="222"/>
      <c r="D31" s="224"/>
      <c r="E31" s="222"/>
      <c r="F31" s="222"/>
      <c r="G31" s="222"/>
      <c r="H31" s="224"/>
      <c r="I31" s="222"/>
      <c r="J31" s="225"/>
      <c r="K31" s="236"/>
    </row>
    <row r="32" spans="1:18" ht="15" customHeight="1">
      <c r="A32" s="1094"/>
      <c r="B32" s="1095" t="str">
        <f>"Elever pr. 5/9- "&amp;budgetår&amp;" : "</f>
        <v xml:space="preserve">Elever pr. 5/9- 2026 : </v>
      </c>
      <c r="C32" s="1095" t="s">
        <v>312</v>
      </c>
      <c r="D32" s="1096">
        <f>elevu13</f>
        <v>0</v>
      </c>
      <c r="E32" s="1091"/>
      <c r="F32" s="1095" t="s">
        <v>313</v>
      </c>
      <c r="G32" s="1096">
        <f>elevo13</f>
        <v>0</v>
      </c>
      <c r="H32" s="1091"/>
      <c r="I32" s="1097" t="s">
        <v>314</v>
      </c>
      <c r="J32" s="1096">
        <f>elev10kl</f>
        <v>0</v>
      </c>
      <c r="K32" s="782"/>
    </row>
    <row r="33" spans="1:11" ht="12" customHeight="1">
      <c r="A33" s="780"/>
      <c r="B33" s="222"/>
      <c r="C33" s="222"/>
      <c r="D33" s="244"/>
      <c r="E33" s="222"/>
      <c r="F33" s="222"/>
      <c r="G33" s="222"/>
      <c r="H33" s="222"/>
      <c r="I33" s="222"/>
      <c r="J33" s="222"/>
      <c r="K33" s="782"/>
    </row>
    <row r="34" spans="1:11" ht="16">
      <c r="A34" s="780" t="s">
        <v>315</v>
      </c>
      <c r="B34" s="222"/>
      <c r="C34" s="222"/>
      <c r="D34" s="227"/>
      <c r="E34" s="222"/>
      <c r="F34" s="222"/>
      <c r="G34" s="245" t="s">
        <v>326</v>
      </c>
      <c r="H34" s="43"/>
      <c r="I34" s="222"/>
      <c r="J34" s="222"/>
      <c r="K34" s="783"/>
    </row>
    <row r="35" spans="1:11" ht="16">
      <c r="A35" s="780"/>
      <c r="B35" s="2896"/>
      <c r="C35" s="1098" t="s">
        <v>316</v>
      </c>
      <c r="D35" s="1099"/>
      <c r="E35" s="1099"/>
      <c r="F35" s="1100">
        <f>FaeUdgSmaa</f>
        <v>8330</v>
      </c>
      <c r="G35" s="1117">
        <f>IF(elevtal_1&lt;221,IF(Elevtal&lt;221,Elevtal-elevtal_1,IF(Elevtal&gt;220,220-elevtal_1)),IF(elevtal_1&gt;220,IF(Elevtal&gt;220,0,IF(Elevtal&lt;221,Elevtal-220))))</f>
        <v>0</v>
      </c>
      <c r="H35" s="1118" t="s">
        <v>327</v>
      </c>
      <c r="I35" s="1102">
        <f>MIN(G35,220)*F35*5/12</f>
        <v>0</v>
      </c>
      <c r="J35" s="228"/>
      <c r="K35" s="784"/>
    </row>
    <row r="36" spans="1:11" ht="16">
      <c r="A36" s="780"/>
      <c r="B36" s="2896"/>
      <c r="C36" s="1098" t="s">
        <v>328</v>
      </c>
      <c r="D36" s="1099"/>
      <c r="E36" s="1099"/>
      <c r="F36" s="1100">
        <f>FaeUdgStore</f>
        <v>3332</v>
      </c>
      <c r="G36" s="1119">
        <f>IF(elevtal_1&lt;221,IF(Elevtal&lt;221,0,IF(Elevtal&gt;220,Elevtal-220)),IF(elevtal_1&gt;220,IF(Elevtal&gt;220,((Elevtal-220)-(elevtal_1-220)),IF(Elevtal&lt;221,G16*-1))))</f>
        <v>0</v>
      </c>
      <c r="H36" s="1118" t="s">
        <v>327</v>
      </c>
      <c r="I36" s="1102">
        <f>F36*G36*5/12</f>
        <v>0</v>
      </c>
      <c r="J36" s="1102">
        <f>SUM(I35:I36)</f>
        <v>0</v>
      </c>
      <c r="K36" s="784"/>
    </row>
    <row r="37" spans="1:11" ht="16">
      <c r="A37" s="780"/>
      <c r="B37" s="222"/>
      <c r="C37" s="222"/>
      <c r="D37" s="222"/>
      <c r="E37" s="222"/>
      <c r="F37" s="222"/>
      <c r="G37" s="222"/>
      <c r="H37" s="222"/>
      <c r="I37" s="222"/>
      <c r="J37" s="222"/>
      <c r="K37" s="782"/>
    </row>
    <row r="38" spans="1:11" ht="16">
      <c r="A38" s="780" t="s">
        <v>319</v>
      </c>
      <c r="B38" s="222"/>
      <c r="C38" s="222"/>
      <c r="D38" s="222"/>
      <c r="E38" s="222"/>
      <c r="F38" s="222"/>
      <c r="G38" s="245" t="s">
        <v>326</v>
      </c>
      <c r="H38" s="222"/>
      <c r="I38" s="222"/>
      <c r="J38" s="222"/>
      <c r="K38" s="784"/>
    </row>
    <row r="39" spans="1:11" ht="15" customHeight="1">
      <c r="A39" s="780"/>
      <c r="B39" s="246"/>
      <c r="C39" s="2883" t="s">
        <v>320</v>
      </c>
      <c r="D39" s="2884"/>
      <c r="E39" s="2885"/>
      <c r="F39" s="1104">
        <f>UvTaxU13</f>
        <v>43734</v>
      </c>
      <c r="G39" s="1120">
        <f>(elevu13-elevu13_1)*1</f>
        <v>0</v>
      </c>
      <c r="H39" s="1118" t="s">
        <v>327</v>
      </c>
      <c r="I39" s="1102">
        <f>F39*G39*5/12</f>
        <v>0</v>
      </c>
      <c r="J39" s="228"/>
      <c r="K39" s="236"/>
    </row>
    <row r="40" spans="1:11" ht="15" customHeight="1">
      <c r="A40" s="780"/>
      <c r="B40" s="246"/>
      <c r="C40" s="2879" t="s">
        <v>321</v>
      </c>
      <c r="D40" s="2880"/>
      <c r="E40" s="2881"/>
      <c r="F40" s="1100">
        <f>UvTaxO13</f>
        <v>57729</v>
      </c>
      <c r="G40" s="1121">
        <f>elevo13-elevo13_1</f>
        <v>0</v>
      </c>
      <c r="H40" s="1118" t="s">
        <v>327</v>
      </c>
      <c r="I40" s="1102">
        <f>F40*G40*5/12</f>
        <v>0</v>
      </c>
      <c r="J40" s="228"/>
      <c r="K40" s="236"/>
    </row>
    <row r="41" spans="1:11" ht="15" customHeight="1">
      <c r="A41" s="780"/>
      <c r="B41" s="246"/>
      <c r="C41" s="1106" t="s">
        <v>322</v>
      </c>
      <c r="D41" s="1107"/>
      <c r="E41" s="1108"/>
      <c r="F41" s="1109">
        <f>UvTax10kl</f>
        <v>56624</v>
      </c>
      <c r="G41" s="1122">
        <f>((7/12*elev10kl_1)+(5/24*elev10klfeb_1)+(5/24*elev10kl))-elev10kl_1</f>
        <v>0</v>
      </c>
      <c r="H41" s="1123"/>
      <c r="I41" s="1102">
        <f>F41*G41</f>
        <v>0</v>
      </c>
      <c r="J41" s="1102">
        <f>SUM(I39:I41)</f>
        <v>0</v>
      </c>
      <c r="K41" s="236"/>
    </row>
    <row r="42" spans="1:11" ht="15" customHeight="1">
      <c r="A42" s="780"/>
      <c r="B42" s="222"/>
      <c r="C42" s="237"/>
      <c r="D42" s="43"/>
      <c r="E42" s="43"/>
      <c r="F42" s="238"/>
      <c r="G42" s="237"/>
      <c r="H42" s="222"/>
      <c r="I42" s="222"/>
      <c r="J42" s="226"/>
      <c r="K42" s="783"/>
    </row>
    <row r="43" spans="1:11" ht="6" customHeight="1">
      <c r="A43" s="780"/>
      <c r="B43" s="222"/>
      <c r="C43" s="237"/>
      <c r="D43" s="43"/>
      <c r="E43" s="43"/>
      <c r="F43" s="238"/>
      <c r="G43" s="237"/>
      <c r="H43" s="222"/>
      <c r="I43" s="222"/>
      <c r="J43" s="226"/>
      <c r="K43" s="783"/>
    </row>
    <row r="44" spans="1:11" ht="21" customHeight="1" thickBot="1">
      <c r="A44" s="780"/>
      <c r="B44" s="222"/>
      <c r="C44" s="222"/>
      <c r="D44" s="222"/>
      <c r="E44" s="222"/>
      <c r="F44" s="222"/>
      <c r="G44" s="222"/>
      <c r="H44" s="240"/>
      <c r="I44" s="240"/>
      <c r="J44" s="785" t="s">
        <v>329</v>
      </c>
      <c r="K44" s="1124">
        <f>(J36+J41)*G24</f>
        <v>0</v>
      </c>
    </row>
    <row r="45" spans="1:11" ht="21" customHeight="1" thickBot="1">
      <c r="A45" s="1125"/>
      <c r="B45" s="1126" t="str">
        <f>"Årselevtal "&amp;budgetår&amp;":"</f>
        <v>Årselevtal 2026:</v>
      </c>
      <c r="C45" s="1127">
        <f>IF(J28=0,0,((J8*7/12)+(J28*5/12)))</f>
        <v>0</v>
      </c>
      <c r="D45" s="1128"/>
      <c r="E45" s="1129" t="s">
        <v>330</v>
      </c>
      <c r="F45" s="1130" t="str">
        <f>IF(K45=0,"",K45/((J8*7/12)+(J28*5/12)))</f>
        <v/>
      </c>
      <c r="G45" s="1128"/>
      <c r="H45" s="1131" t="str">
        <f>"Driftstilskud i alt "&amp;budgetår</f>
        <v>Driftstilskud i alt 2026</v>
      </c>
      <c r="I45" s="1132"/>
      <c r="J45" s="1132"/>
      <c r="K45" s="1133">
        <f>K24+K44</f>
        <v>0</v>
      </c>
    </row>
    <row r="46" spans="1:11" ht="21" customHeight="1">
      <c r="A46" s="780"/>
      <c r="B46" s="222"/>
      <c r="C46" s="222"/>
      <c r="D46" s="222"/>
      <c r="E46" s="222"/>
      <c r="F46" s="222"/>
      <c r="G46" s="222"/>
      <c r="H46" s="222"/>
      <c r="I46" s="222"/>
      <c r="J46" s="222"/>
      <c r="K46" s="236"/>
    </row>
    <row r="47" spans="1:11" ht="19" customHeight="1">
      <c r="A47" s="789" t="s">
        <v>331</v>
      </c>
      <c r="B47" s="247"/>
      <c r="C47" s="247"/>
      <c r="D47" s="247"/>
      <c r="E47" s="222"/>
      <c r="F47" s="222"/>
      <c r="G47" s="222"/>
      <c r="H47" s="222"/>
      <c r="I47" s="222"/>
      <c r="J47" s="222"/>
      <c r="K47" s="236"/>
    </row>
    <row r="48" spans="1:11" ht="19" customHeight="1">
      <c r="A48" s="789"/>
      <c r="B48" s="247"/>
      <c r="C48" s="247"/>
      <c r="D48" s="247"/>
      <c r="E48" s="222"/>
      <c r="F48" s="222"/>
      <c r="G48" s="222"/>
      <c r="H48" s="222"/>
      <c r="I48" s="222"/>
      <c r="J48" s="222"/>
      <c r="K48" s="236"/>
    </row>
    <row r="49" spans="1:11" ht="13" customHeight="1">
      <c r="A49" s="790"/>
      <c r="B49" s="196" t="s">
        <v>332</v>
      </c>
      <c r="C49" s="248"/>
      <c r="D49" s="195"/>
      <c r="E49" s="2860" t="s">
        <v>333</v>
      </c>
      <c r="F49" s="2861"/>
      <c r="G49" s="2861"/>
      <c r="H49" s="2861"/>
      <c r="I49" s="2862"/>
      <c r="J49" s="1134">
        <f>SUM(E50:H51)</f>
        <v>135843</v>
      </c>
      <c r="K49" s="236"/>
    </row>
    <row r="50" spans="1:11" ht="14" hidden="1" customHeight="1">
      <c r="A50" s="790"/>
      <c r="B50" s="791"/>
      <c r="C50" s="248"/>
      <c r="D50" s="195"/>
      <c r="E50" s="2422">
        <f>IF(elevtal_1&lt;=149,InklGrund/12*7,"0")</f>
        <v>79241.75</v>
      </c>
      <c r="F50" s="2422" t="str">
        <f>IF(AND(elevtal_1&gt;=150,elevtal_1&lt;=299),InklGrund*95%/12*7,"0")</f>
        <v>0</v>
      </c>
      <c r="G50" s="2423" t="str">
        <f>IF(AND(elevtal_1&gt;=300,elevtal_1&lt;=450),InklGrund*90%/12*7,"0")</f>
        <v>0</v>
      </c>
      <c r="H50" s="2424" t="str">
        <f>IF(elevtal_1&gt;450,InklGrund*85%/12*7,"0")</f>
        <v>0</v>
      </c>
      <c r="I50" s="2425"/>
      <c r="J50" s="2424"/>
      <c r="K50" s="236"/>
    </row>
    <row r="51" spans="1:11" ht="14" hidden="1" customHeight="1">
      <c r="A51" s="2426"/>
      <c r="B51" s="791"/>
      <c r="C51" s="248"/>
      <c r="D51" s="195"/>
      <c r="E51" s="2422">
        <f>IF(Elevtal&lt;=149,InklGrund/12*5,"0")</f>
        <v>56601.25</v>
      </c>
      <c r="F51" s="2422" t="b">
        <f>IF(AND(Elevtal&gt;=150,elevtal_1&lt;=299),ROUND(InklGrund*95%/12*5,"0"))</f>
        <v>0</v>
      </c>
      <c r="G51" s="2423" t="str">
        <f>IF(AND(elevtal_1&gt;=300,Elevtal&lt;=450),InklGrund*90%/12*5,"0")</f>
        <v>0</v>
      </c>
      <c r="H51" s="2424" t="str">
        <f>IF(Elevtal&gt;450,InklGrund*85%/12*5,"0")</f>
        <v>0</v>
      </c>
      <c r="I51" s="2425"/>
      <c r="J51" s="2424"/>
      <c r="K51" s="236"/>
    </row>
    <row r="52" spans="1:11" ht="15.75" customHeight="1">
      <c r="A52" s="790"/>
      <c r="B52" s="791"/>
      <c r="C52" s="248"/>
      <c r="D52" s="195"/>
      <c r="E52" s="2887" t="str">
        <f>"Antal elever 5/9 "&amp;budgetår-1</f>
        <v>Antal elever 5/9 2025</v>
      </c>
      <c r="F52" s="2888"/>
      <c r="G52" s="2890" t="s">
        <v>334</v>
      </c>
      <c r="H52" s="2891"/>
      <c r="I52" s="2892"/>
      <c r="J52" s="1135" t="s">
        <v>335</v>
      </c>
      <c r="K52" s="236"/>
    </row>
    <row r="53" spans="1:11" ht="15.75" customHeight="1">
      <c r="A53" s="790"/>
      <c r="B53" s="196" t="s">
        <v>336</v>
      </c>
      <c r="C53" s="248"/>
      <c r="D53" s="195"/>
      <c r="E53" s="2889">
        <f>elevtal_1</f>
        <v>0</v>
      </c>
      <c r="F53" s="2889"/>
      <c r="G53" s="2893">
        <f>Bygtilsk</f>
        <v>2764</v>
      </c>
      <c r="H53" s="2894"/>
      <c r="I53" s="2895"/>
      <c r="J53" s="1136">
        <f>E53*G53</f>
        <v>0</v>
      </c>
      <c r="K53" s="236"/>
    </row>
    <row r="54" spans="1:11" ht="21" customHeight="1">
      <c r="A54" s="790"/>
      <c r="B54" s="196"/>
      <c r="C54" s="248"/>
      <c r="D54" s="195"/>
      <c r="E54" s="197"/>
      <c r="F54" s="198"/>
      <c r="G54" s="227"/>
      <c r="H54" s="249"/>
      <c r="I54" s="199"/>
      <c r="J54" s="250"/>
      <c r="K54" s="236"/>
    </row>
    <row r="55" spans="1:11" ht="15.75" customHeight="1">
      <c r="A55" s="790"/>
      <c r="B55" s="2863" t="str">
        <f>"Tilskud til undervisning af SPS elever for hele "&amp;budgetår&amp;""</f>
        <v>Tilskud til undervisning af SPS elever for hele 2026</v>
      </c>
      <c r="C55" s="2863"/>
      <c r="D55" s="2864"/>
      <c r="E55" s="2867" t="str">
        <f>"Antal SPS elever pr. 5/9 "&amp;budgetår-1</f>
        <v>Antal SPS elever pr. 5/9 2025</v>
      </c>
      <c r="F55" s="2868"/>
      <c r="G55" s="2868"/>
      <c r="H55" s="2868"/>
      <c r="I55" s="2869"/>
      <c r="J55" s="1135" t="s">
        <v>335</v>
      </c>
      <c r="K55" s="236"/>
    </row>
    <row r="56" spans="1:11" ht="15.75" customHeight="1">
      <c r="A56" s="790"/>
      <c r="B56" s="2863"/>
      <c r="C56" s="2863"/>
      <c r="D56" s="2863"/>
      <c r="E56" s="2870">
        <f>Forside!E36</f>
        <v>0</v>
      </c>
      <c r="F56" s="2871"/>
      <c r="G56" s="2871"/>
      <c r="H56" s="2871"/>
      <c r="I56" s="2872"/>
      <c r="J56" s="1134">
        <f>(IF(E56&gt;0,SatsBilag!B52,0)+IF(E56&gt;1,SatsBilag!B53,0)+IF(E56&gt;2,(SatsBilag!B54*(E56-2)))+IF(Forside!G8&gt;0,Statstilskud!E56-12)*SatsBilag!B55)</f>
        <v>0</v>
      </c>
      <c r="K56" s="236"/>
    </row>
    <row r="57" spans="1:11" ht="18" customHeight="1">
      <c r="A57" s="788"/>
      <c r="B57" s="792"/>
      <c r="C57" s="222"/>
      <c r="D57" s="195"/>
      <c r="E57" s="195"/>
      <c r="F57" s="195"/>
      <c r="G57" s="195"/>
      <c r="H57" s="249"/>
      <c r="I57" s="249"/>
      <c r="J57" s="250"/>
      <c r="K57" s="236"/>
    </row>
    <row r="58" spans="1:11" ht="15.75" customHeight="1">
      <c r="A58" s="790"/>
      <c r="B58" s="2865" t="str">
        <f>"Tilskud til personlig assistence samt to-sprogede              (hele "&amp;budgetår&amp;")"</f>
        <v>Tilskud til personlig assistence samt to-sprogede              (hele 2026)</v>
      </c>
      <c r="C58" s="2865"/>
      <c r="D58" s="2866"/>
      <c r="E58" s="2873" t="s">
        <v>337</v>
      </c>
      <c r="F58" s="2874"/>
      <c r="G58" s="2874"/>
      <c r="H58" s="2874"/>
      <c r="I58" s="2875"/>
      <c r="J58" s="1137" t="s">
        <v>335</v>
      </c>
      <c r="K58" s="236"/>
    </row>
    <row r="59" spans="1:11" ht="22" customHeight="1">
      <c r="A59" s="790"/>
      <c r="B59" s="2865"/>
      <c r="C59" s="2865"/>
      <c r="D59" s="2866"/>
      <c r="E59" s="2876"/>
      <c r="F59" s="2877"/>
      <c r="G59" s="2877"/>
      <c r="H59" s="2877"/>
      <c r="I59" s="2878"/>
      <c r="J59" s="1138"/>
      <c r="K59" s="236"/>
    </row>
    <row r="60" spans="1:11" ht="15.75" customHeight="1">
      <c r="A60" s="790"/>
      <c r="B60" s="279"/>
      <c r="C60" s="279"/>
      <c r="D60" s="279"/>
      <c r="E60" s="197"/>
      <c r="F60" s="280"/>
      <c r="G60" s="251"/>
      <c r="H60" s="249"/>
      <c r="I60" s="199"/>
      <c r="J60" s="250"/>
      <c r="K60" s="236"/>
    </row>
    <row r="61" spans="1:11" ht="15.75" customHeight="1">
      <c r="A61" s="788"/>
      <c r="B61" s="792"/>
      <c r="C61" s="222"/>
      <c r="D61" s="195"/>
      <c r="E61" s="1139"/>
      <c r="F61" s="1140" t="str">
        <f>"Antal elever 5/9 "&amp;budgetår-1</f>
        <v>Antal elever 5/9 2025</v>
      </c>
      <c r="G61" s="1141" t="s">
        <v>334</v>
      </c>
      <c r="H61" s="1142"/>
      <c r="I61" s="1142"/>
      <c r="J61" s="1143" t="s">
        <v>335</v>
      </c>
      <c r="K61" s="236"/>
    </row>
    <row r="62" spans="1:11" ht="15.75" customHeight="1">
      <c r="A62" s="793"/>
      <c r="B62" s="196" t="s">
        <v>338</v>
      </c>
      <c r="C62" s="200"/>
      <c r="D62" s="195"/>
      <c r="E62" s="1144"/>
      <c r="F62" s="1145">
        <f>Forside!E38</f>
        <v>0</v>
      </c>
      <c r="G62" s="1146">
        <f>SFOtilsk</f>
        <v>9111</v>
      </c>
      <c r="H62" s="1147"/>
      <c r="I62" s="1148"/>
      <c r="J62" s="1149">
        <f>F62*G62</f>
        <v>0</v>
      </c>
      <c r="K62" s="236"/>
    </row>
    <row r="63" spans="1:11" ht="15.75" customHeight="1">
      <c r="A63" s="790"/>
      <c r="B63" s="201"/>
      <c r="C63" s="251"/>
      <c r="D63" s="195"/>
      <c r="E63" s="201" t="str">
        <f>"Ændringer 5/9 i "&amp;budgetår</f>
        <v>Ændringer 5/9 i 2026</v>
      </c>
      <c r="F63" s="1150">
        <f>Forside!F38-Forside!E38</f>
        <v>0</v>
      </c>
      <c r="G63" s="1150">
        <f>G62/12*5</f>
        <v>3796.25</v>
      </c>
      <c r="H63" s="1151"/>
      <c r="I63" s="1152"/>
      <c r="J63" s="1136">
        <f>F63*G63</f>
        <v>0</v>
      </c>
      <c r="K63" s="236"/>
    </row>
    <row r="64" spans="1:11" ht="1" customHeight="1" thickBot="1">
      <c r="A64" s="794"/>
      <c r="B64" s="50"/>
      <c r="C64" s="252"/>
      <c r="D64" s="49"/>
      <c r="E64" s="49"/>
      <c r="F64" s="51"/>
      <c r="G64" s="52"/>
      <c r="H64" s="253"/>
      <c r="I64" s="254"/>
      <c r="J64" s="1153"/>
      <c r="K64" s="795"/>
    </row>
    <row r="65" spans="1:11" ht="15.75" customHeight="1" thickBot="1">
      <c r="A65" s="1154" t="s">
        <v>339</v>
      </c>
      <c r="B65" s="1155"/>
      <c r="C65" s="1155"/>
      <c r="D65" s="1155"/>
      <c r="E65" s="1155"/>
      <c r="F65" s="1155"/>
      <c r="G65" s="1155"/>
      <c r="H65" s="1156"/>
      <c r="I65" s="1156"/>
      <c r="J65" s="1157"/>
      <c r="K65" s="1158">
        <f>SUM(J49:J63)</f>
        <v>135843</v>
      </c>
    </row>
    <row r="66" spans="1:11">
      <c r="A66" s="796"/>
      <c r="B66" s="46"/>
      <c r="C66" s="45"/>
      <c r="D66" s="46"/>
      <c r="E66" s="46"/>
      <c r="F66" s="47"/>
      <c r="G66" s="44"/>
      <c r="H66" s="47"/>
      <c r="I66" s="255"/>
      <c r="J66" s="255"/>
      <c r="K66" s="256"/>
    </row>
    <row r="67" spans="1:11">
      <c r="A67" s="1"/>
      <c r="B67" s="1"/>
      <c r="C67" s="257"/>
      <c r="D67" s="16"/>
      <c r="E67" s="15"/>
      <c r="F67" s="17"/>
      <c r="G67" s="15"/>
      <c r="H67" s="258"/>
    </row>
    <row r="68" spans="1:11" ht="15.75" customHeight="1" thickBot="1">
      <c r="H68" s="19"/>
    </row>
    <row r="69" spans="1:11" ht="20">
      <c r="A69" s="1085" t="str">
        <f>"Beregning af driftstilskud for "&amp;budgetår+1</f>
        <v>Beregning af driftstilskud for 2027</v>
      </c>
      <c r="B69" s="1159"/>
      <c r="C69" s="1159"/>
      <c r="D69" s="1159"/>
      <c r="E69" s="1159"/>
      <c r="F69" s="1159"/>
      <c r="G69" s="1159"/>
      <c r="H69" s="1159"/>
      <c r="I69" s="1159"/>
      <c r="J69" s="1159"/>
      <c r="K69" s="1160"/>
    </row>
    <row r="70" spans="1:11" ht="16">
      <c r="A70" s="1088" t="str">
        <f>"Grundtilskud 10.000 kr pr. elev 5/9-"&amp;budgetår&amp;" (max 400.000 kr.)"</f>
        <v>Grundtilskud 10.000 kr pr. elev 5/9-2026 (max 400.000 kr.)</v>
      </c>
      <c r="B70" s="1089"/>
      <c r="C70" s="1089"/>
      <c r="D70" s="1089"/>
      <c r="E70" s="1089"/>
      <c r="F70" s="1089"/>
      <c r="G70" s="1090" t="str">
        <f>"("&amp;GrundTilsk&amp;" x"&amp;Elevtal&amp;")"</f>
        <v>(10000 x0)</v>
      </c>
      <c r="H70" s="1089"/>
      <c r="I70" s="1089"/>
      <c r="J70" s="1091"/>
      <c r="K70" s="1161">
        <f>MIN(400000,J72*GrundTilsk)</f>
        <v>0</v>
      </c>
    </row>
    <row r="71" spans="1:11" ht="5" customHeight="1" thickBot="1">
      <c r="A71" s="778"/>
      <c r="B71" s="85"/>
      <c r="C71" s="85"/>
      <c r="D71" s="85"/>
      <c r="E71" s="85"/>
      <c r="F71" s="85"/>
      <c r="G71" s="221"/>
      <c r="H71" s="85"/>
      <c r="I71" s="85"/>
      <c r="J71" s="222"/>
      <c r="K71" s="797"/>
    </row>
    <row r="72" spans="1:11" ht="17" thickBot="1">
      <c r="A72" s="780" t="s">
        <v>311</v>
      </c>
      <c r="B72" s="222"/>
      <c r="C72" s="222"/>
      <c r="D72" s="222"/>
      <c r="E72" s="222"/>
      <c r="F72" s="222"/>
      <c r="G72" s="222"/>
      <c r="H72" s="222"/>
      <c r="I72" s="223" t="str">
        <f>"Elevtal 5/9- "&amp;budgetår</f>
        <v>Elevtal 5/9- 2026</v>
      </c>
      <c r="J72" s="1093">
        <f>Elevtal</f>
        <v>0</v>
      </c>
      <c r="K72" s="798"/>
    </row>
    <row r="73" spans="1:11" ht="7" customHeight="1">
      <c r="A73" s="780"/>
      <c r="B73" s="222"/>
      <c r="C73" s="222"/>
      <c r="D73" s="222"/>
      <c r="E73" s="222"/>
      <c r="F73" s="222"/>
      <c r="G73" s="222"/>
      <c r="H73" s="222"/>
      <c r="I73" s="222"/>
      <c r="J73" s="222"/>
      <c r="K73" s="799"/>
    </row>
    <row r="74" spans="1:11" ht="16">
      <c r="A74" s="780" t="str">
        <f>"Fordeling af elever 5/9-"&amp;budgetår&amp;":"</f>
        <v>Fordeling af elever 5/9-2026:</v>
      </c>
      <c r="B74" s="222"/>
      <c r="C74" s="222"/>
      <c r="D74" s="222"/>
      <c r="E74" s="222"/>
      <c r="F74" s="222"/>
      <c r="G74" s="222"/>
      <c r="H74" s="222"/>
      <c r="I74" s="222"/>
      <c r="J74" s="222"/>
      <c r="K74" s="798"/>
    </row>
    <row r="75" spans="1:11" ht="7" customHeight="1">
      <c r="A75" s="780"/>
      <c r="B75" s="222"/>
      <c r="C75" s="222"/>
      <c r="D75" s="224"/>
      <c r="E75" s="222"/>
      <c r="F75" s="222"/>
      <c r="G75" s="222"/>
      <c r="H75" s="224"/>
      <c r="I75" s="222"/>
      <c r="J75" s="225"/>
      <c r="K75" s="798"/>
    </row>
    <row r="76" spans="1:11" ht="16">
      <c r="A76" s="1094"/>
      <c r="B76" s="1095" t="str">
        <f>"Elever pr. 5/9- "&amp;budgetår&amp;" : "</f>
        <v xml:space="preserve">Elever pr. 5/9- 2026 : </v>
      </c>
      <c r="C76" s="1095" t="s">
        <v>312</v>
      </c>
      <c r="D76" s="1096">
        <f>elevu13</f>
        <v>0</v>
      </c>
      <c r="E76" s="1091"/>
      <c r="F76" s="1095" t="s">
        <v>313</v>
      </c>
      <c r="G76" s="1096">
        <f>elevo13</f>
        <v>0</v>
      </c>
      <c r="H76" s="1091"/>
      <c r="I76" s="1097" t="s">
        <v>314</v>
      </c>
      <c r="J76" s="1096">
        <f>elev10kl</f>
        <v>0</v>
      </c>
      <c r="K76" s="800"/>
    </row>
    <row r="77" spans="1:11" ht="16">
      <c r="A77" s="780"/>
      <c r="B77" s="222"/>
      <c r="C77" s="222"/>
      <c r="D77" s="222"/>
      <c r="E77" s="226"/>
      <c r="F77" s="222"/>
      <c r="G77" s="222"/>
      <c r="H77" s="226"/>
      <c r="I77" s="222"/>
      <c r="J77" s="222"/>
      <c r="K77" s="800"/>
    </row>
    <row r="78" spans="1:11" ht="16">
      <c r="A78" s="780" t="s">
        <v>315</v>
      </c>
      <c r="B78" s="222"/>
      <c r="C78" s="222"/>
      <c r="D78" s="227"/>
      <c r="E78" s="222"/>
      <c r="F78" s="222"/>
      <c r="G78" s="227"/>
      <c r="H78" s="43"/>
      <c r="I78" s="222"/>
      <c r="J78" s="222"/>
      <c r="K78" s="800"/>
    </row>
    <row r="79" spans="1:11" ht="16">
      <c r="A79" s="780"/>
      <c r="B79" s="2882"/>
      <c r="C79" s="1098" t="s">
        <v>316</v>
      </c>
      <c r="D79" s="1099"/>
      <c r="E79" s="1099"/>
      <c r="F79" s="1162">
        <f>FaeUdgSmaa*(1+FremskrStatst)</f>
        <v>8330</v>
      </c>
      <c r="G79" s="1163">
        <f>IF(Elevtal&gt;220,220,Elevtal)</f>
        <v>0</v>
      </c>
      <c r="H79" s="1091" t="s">
        <v>317</v>
      </c>
      <c r="I79" s="1102">
        <f>G79*F79</f>
        <v>0</v>
      </c>
      <c r="J79" s="228"/>
      <c r="K79" s="798"/>
    </row>
    <row r="80" spans="1:11" ht="16">
      <c r="A80" s="780"/>
      <c r="B80" s="2882"/>
      <c r="C80" s="1098" t="s">
        <v>318</v>
      </c>
      <c r="D80" s="1099"/>
      <c r="E80" s="1099"/>
      <c r="F80" s="1162">
        <f>FaeUdgStore*(FremskrStatst_1+1)</f>
        <v>3332</v>
      </c>
      <c r="G80" s="1163">
        <f>IF(Elevtal&gt;220,Elevtal-220,0)</f>
        <v>0</v>
      </c>
      <c r="H80" s="1091" t="s">
        <v>317</v>
      </c>
      <c r="I80" s="1102">
        <f>MAX(0,J72-219)*F80</f>
        <v>0</v>
      </c>
      <c r="J80" s="1102">
        <f>SUM(I79:I80)</f>
        <v>0</v>
      </c>
      <c r="K80" s="798"/>
    </row>
    <row r="81" spans="1:11" ht="16">
      <c r="A81" s="780"/>
      <c r="B81" s="222"/>
      <c r="C81" s="222"/>
      <c r="D81" s="222"/>
      <c r="E81" s="222"/>
      <c r="F81" s="222"/>
      <c r="G81" s="222"/>
      <c r="H81" s="222"/>
      <c r="I81" s="228"/>
      <c r="J81" s="228"/>
      <c r="K81" s="800"/>
    </row>
    <row r="82" spans="1:11" ht="16">
      <c r="A82" s="780" t="s">
        <v>319</v>
      </c>
      <c r="B82" s="222"/>
      <c r="C82" s="222"/>
      <c r="D82" s="222"/>
      <c r="E82" s="222"/>
      <c r="F82" s="222"/>
      <c r="G82" s="222"/>
      <c r="H82" s="222"/>
      <c r="I82" s="228"/>
      <c r="J82" s="228"/>
      <c r="K82" s="801"/>
    </row>
    <row r="83" spans="1:11" ht="16">
      <c r="A83" s="780"/>
      <c r="B83" s="2882"/>
      <c r="C83" s="2883" t="s">
        <v>320</v>
      </c>
      <c r="D83" s="2884"/>
      <c r="E83" s="2885"/>
      <c r="F83" s="1104">
        <f>UvTaxU13*(FremskrStatst+1)</f>
        <v>43734</v>
      </c>
      <c r="G83" s="1110">
        <f>elevu13</f>
        <v>0</v>
      </c>
      <c r="H83" s="1091" t="s">
        <v>317</v>
      </c>
      <c r="I83" s="1102">
        <f>F83*D76</f>
        <v>0</v>
      </c>
      <c r="J83" s="228"/>
      <c r="K83" s="798"/>
    </row>
    <row r="84" spans="1:11" ht="16">
      <c r="A84" s="780"/>
      <c r="B84" s="2882"/>
      <c r="C84" s="2879" t="s">
        <v>321</v>
      </c>
      <c r="D84" s="2880"/>
      <c r="E84" s="2881"/>
      <c r="F84" s="1104">
        <f>UvTaxO13*(FremskrStatst+1)</f>
        <v>57729</v>
      </c>
      <c r="G84" s="1110">
        <f>elevo13</f>
        <v>0</v>
      </c>
      <c r="H84" s="1091" t="s">
        <v>317</v>
      </c>
      <c r="I84" s="1164">
        <f>F84*G76</f>
        <v>0</v>
      </c>
      <c r="J84" s="228"/>
      <c r="K84" s="798"/>
    </row>
    <row r="85" spans="1:11" ht="16">
      <c r="A85" s="780"/>
      <c r="B85" s="2882"/>
      <c r="C85" s="1106" t="s">
        <v>322</v>
      </c>
      <c r="D85" s="1107"/>
      <c r="E85" s="1108"/>
      <c r="F85" s="1165">
        <f>UvTax10kl*(FremskrStatst+1)</f>
        <v>56624</v>
      </c>
      <c r="G85" s="1110">
        <f>elev10kl</f>
        <v>0</v>
      </c>
      <c r="H85" s="1091" t="s">
        <v>317</v>
      </c>
      <c r="I85" s="1166">
        <f>F85*G85</f>
        <v>0</v>
      </c>
      <c r="J85" s="1167">
        <f>SUM(I83:I85)</f>
        <v>0</v>
      </c>
      <c r="K85" s="798"/>
    </row>
    <row r="86" spans="1:11" ht="16">
      <c r="A86" s="780"/>
      <c r="B86" s="222"/>
      <c r="C86" s="237"/>
      <c r="D86" s="43"/>
      <c r="E86" s="43"/>
      <c r="F86" s="238"/>
      <c r="G86" s="237"/>
      <c r="H86" s="222"/>
      <c r="I86" s="222"/>
      <c r="J86" s="226"/>
      <c r="K86" s="800"/>
    </row>
    <row r="87" spans="1:11" ht="16">
      <c r="A87" s="780" t="s">
        <v>323</v>
      </c>
      <c r="B87" s="222"/>
      <c r="C87" s="222"/>
      <c r="D87" s="43"/>
      <c r="E87" s="238"/>
      <c r="F87" s="239" t="s">
        <v>324</v>
      </c>
      <c r="G87" s="1111">
        <f>IF(Forside!G12&gt;=4,1.02,1)</f>
        <v>1</v>
      </c>
      <c r="H87" s="240"/>
      <c r="I87" s="240"/>
      <c r="J87" s="785" t="s">
        <v>325</v>
      </c>
      <c r="K87" s="1168">
        <f>(K70+J80+J85)*G87</f>
        <v>0</v>
      </c>
    </row>
    <row r="88" spans="1:11" ht="7" customHeight="1">
      <c r="A88" s="1113"/>
      <c r="B88" s="1114"/>
      <c r="C88" s="1114"/>
      <c r="D88" s="1114"/>
      <c r="E88" s="1114"/>
      <c r="F88" s="1114"/>
      <c r="G88" s="1114"/>
      <c r="H88" s="1091"/>
      <c r="I88" s="1091"/>
      <c r="J88" s="1091"/>
      <c r="K88" s="1169"/>
    </row>
    <row r="89" spans="1:11" ht="20">
      <c r="A89" s="802" t="str">
        <f>"Regulering af driftstilskud for de sidste 5 mdr. af "&amp;budgetår+1</f>
        <v>Regulering af driftstilskud for de sidste 5 mdr. af 2027</v>
      </c>
      <c r="B89" s="259"/>
      <c r="C89" s="259"/>
      <c r="D89" s="259"/>
      <c r="E89" s="259"/>
      <c r="F89" s="259"/>
      <c r="G89" s="259"/>
      <c r="H89" s="259"/>
      <c r="I89" s="259"/>
      <c r="J89" s="259"/>
      <c r="K89" s="803"/>
    </row>
    <row r="90" spans="1:11" ht="4" customHeight="1">
      <c r="A90" s="780"/>
      <c r="B90" s="222"/>
      <c r="C90" s="222"/>
      <c r="D90" s="222"/>
      <c r="E90" s="222"/>
      <c r="F90" s="222"/>
      <c r="G90" s="222"/>
      <c r="H90" s="222"/>
      <c r="I90" s="222"/>
      <c r="J90" s="222"/>
      <c r="K90" s="801"/>
    </row>
    <row r="91" spans="1:11" ht="16">
      <c r="A91" s="788"/>
      <c r="B91" s="222"/>
      <c r="C91" s="242"/>
      <c r="D91" s="238"/>
      <c r="E91" s="222"/>
      <c r="F91" s="222"/>
      <c r="G91" s="222"/>
      <c r="H91" s="224"/>
      <c r="I91" s="223" t="str">
        <f>"Elevtal 5/9 "&amp;budgetår+1&amp;" :"</f>
        <v>Elevtal 5/9 2027 :</v>
      </c>
      <c r="J91" s="1162">
        <f>elevtal_2</f>
        <v>0</v>
      </c>
      <c r="K91" s="798"/>
    </row>
    <row r="92" spans="1:11" ht="16">
      <c r="A92" s="2886" t="str">
        <f>"Fordeling af elever  5/9 "&amp;budgetår+1&amp;" :"</f>
        <v>Fordeling af elever  5/9 2027 :</v>
      </c>
      <c r="B92" s="2882"/>
      <c r="C92" s="2882"/>
      <c r="D92" s="224"/>
      <c r="E92" s="222"/>
      <c r="F92" s="222"/>
      <c r="G92" s="222"/>
      <c r="H92" s="224"/>
      <c r="I92" s="222"/>
      <c r="J92" s="225"/>
      <c r="K92" s="798"/>
    </row>
    <row r="93" spans="1:11" ht="16">
      <c r="A93" s="780"/>
      <c r="B93" s="222"/>
      <c r="C93" s="222"/>
      <c r="D93" s="224"/>
      <c r="E93" s="222"/>
      <c r="F93" s="222"/>
      <c r="G93" s="222"/>
      <c r="H93" s="224"/>
      <c r="I93" s="222"/>
      <c r="J93" s="225"/>
      <c r="K93" s="798"/>
    </row>
    <row r="94" spans="1:11" ht="16">
      <c r="A94" s="1094"/>
      <c r="B94" s="1095" t="str">
        <f>"Elever pr. 5/9- "&amp;budgetår+1&amp;" : "</f>
        <v xml:space="preserve">Elever pr. 5/9- 2027 : </v>
      </c>
      <c r="C94" s="1095" t="s">
        <v>312</v>
      </c>
      <c r="D94" s="1096">
        <f>elevu13_2</f>
        <v>0</v>
      </c>
      <c r="E94" s="1091"/>
      <c r="F94" s="1095" t="s">
        <v>313</v>
      </c>
      <c r="G94" s="1096">
        <f>elevo13_2</f>
        <v>0</v>
      </c>
      <c r="H94" s="1091"/>
      <c r="I94" s="1097" t="s">
        <v>314</v>
      </c>
      <c r="J94" s="1096">
        <f>elev10kl_2</f>
        <v>0</v>
      </c>
      <c r="K94" s="800"/>
    </row>
    <row r="95" spans="1:11" ht="16">
      <c r="A95" s="780"/>
      <c r="B95" s="222"/>
      <c r="C95" s="222"/>
      <c r="D95" s="244"/>
      <c r="E95" s="222"/>
      <c r="F95" s="222"/>
      <c r="G95" s="222"/>
      <c r="H95" s="222"/>
      <c r="I95" s="222"/>
      <c r="J95" s="222"/>
      <c r="K95" s="800"/>
    </row>
    <row r="96" spans="1:11" ht="16">
      <c r="A96" s="780" t="s">
        <v>315</v>
      </c>
      <c r="B96" s="222"/>
      <c r="C96" s="222"/>
      <c r="D96" s="227"/>
      <c r="E96" s="222"/>
      <c r="F96" s="222"/>
      <c r="G96" s="245" t="s">
        <v>326</v>
      </c>
      <c r="H96" s="43"/>
      <c r="I96" s="222"/>
      <c r="J96" s="222"/>
      <c r="K96" s="800"/>
    </row>
    <row r="97" spans="1:11" ht="16">
      <c r="A97" s="780"/>
      <c r="B97" s="2882"/>
      <c r="C97" s="1098" t="s">
        <v>316</v>
      </c>
      <c r="D97" s="1099"/>
      <c r="E97" s="1099"/>
      <c r="F97" s="1100">
        <f>FaeUdgSmaa*(1+FremskrStatst)</f>
        <v>8330</v>
      </c>
      <c r="G97" s="1170">
        <f>IF(Elevtal&lt;221,IF(elevtal_2&lt;221,elevtal_2-Elevtal,IF(elevtal_2&gt;220,220-Elevtal)),IF(Elevtal&gt;220,IF(elevtal_2&gt;220,0,IF(elevtal_2&lt;221,elevtal_2-220))))</f>
        <v>0</v>
      </c>
      <c r="H97" s="1118" t="s">
        <v>327</v>
      </c>
      <c r="I97" s="1102">
        <f>MIN(G97,220)*F97*5/12</f>
        <v>0</v>
      </c>
      <c r="J97" s="228"/>
      <c r="K97" s="798"/>
    </row>
    <row r="98" spans="1:11" ht="16">
      <c r="A98" s="780"/>
      <c r="B98" s="2882"/>
      <c r="C98" s="1098" t="s">
        <v>328</v>
      </c>
      <c r="D98" s="1099"/>
      <c r="E98" s="1099"/>
      <c r="F98" s="1100">
        <f>FaeUdgStore*(FremskrStatst+1)</f>
        <v>3332</v>
      </c>
      <c r="G98" s="1163">
        <f>IF(Elevtal&lt;221,IF(elevtal_2&lt;221,0,IF(elevtal_2&gt;220,elevtal_2-220)),IF(Elevtal&gt;220,IF(elevtal_2&gt;220,((elevtal_2-220)-(Elevtal-220)),IF(elevtal_2&lt;221,G83*-1))))</f>
        <v>0</v>
      </c>
      <c r="H98" s="1118" t="s">
        <v>327</v>
      </c>
      <c r="I98" s="1102">
        <f>F98*G98*5/12</f>
        <v>0</v>
      </c>
      <c r="J98" s="1102">
        <f>SUM(I97:I98)</f>
        <v>0</v>
      </c>
      <c r="K98" s="801"/>
    </row>
    <row r="99" spans="1:11" ht="16">
      <c r="A99" s="780"/>
      <c r="B99" s="222"/>
      <c r="C99" s="222"/>
      <c r="D99" s="222"/>
      <c r="E99" s="222"/>
      <c r="F99" s="222"/>
      <c r="G99" s="222"/>
      <c r="H99" s="222"/>
      <c r="I99" s="222"/>
      <c r="J99" s="222"/>
      <c r="K99" s="800"/>
    </row>
    <row r="100" spans="1:11" ht="16">
      <c r="A100" s="780" t="s">
        <v>319</v>
      </c>
      <c r="B100" s="222"/>
      <c r="C100" s="222"/>
      <c r="D100" s="222"/>
      <c r="E100" s="222"/>
      <c r="F100" s="222"/>
      <c r="G100" s="245" t="s">
        <v>326</v>
      </c>
      <c r="H100" s="222"/>
      <c r="I100" s="222"/>
      <c r="J100" s="222"/>
      <c r="K100" s="801"/>
    </row>
    <row r="101" spans="1:11" ht="16">
      <c r="A101" s="780"/>
      <c r="B101" s="246"/>
      <c r="C101" s="2883" t="s">
        <v>320</v>
      </c>
      <c r="D101" s="2884"/>
      <c r="E101" s="2885"/>
      <c r="F101" s="1104">
        <f>UvTaxU13*(FremskrStatst+1)</f>
        <v>43734</v>
      </c>
      <c r="G101" s="1171">
        <f>elevu13_2-elevu13</f>
        <v>0</v>
      </c>
      <c r="H101" s="1118" t="s">
        <v>327</v>
      </c>
      <c r="I101" s="1102">
        <f>F101*G101*5/12</f>
        <v>0</v>
      </c>
      <c r="J101" s="228"/>
      <c r="K101" s="798"/>
    </row>
    <row r="102" spans="1:11" ht="16">
      <c r="A102" s="780"/>
      <c r="B102" s="246"/>
      <c r="C102" s="2879" t="s">
        <v>321</v>
      </c>
      <c r="D102" s="2880"/>
      <c r="E102" s="2881"/>
      <c r="F102" s="1104">
        <f>UvTaxO13*(FremskrStatst+1)</f>
        <v>57729</v>
      </c>
      <c r="G102" s="1171">
        <f>elevo13_2-elevo13</f>
        <v>0</v>
      </c>
      <c r="H102" s="1118" t="s">
        <v>327</v>
      </c>
      <c r="I102" s="1102">
        <f>F102*G102*5/12</f>
        <v>0</v>
      </c>
      <c r="J102" s="228"/>
      <c r="K102" s="798"/>
    </row>
    <row r="103" spans="1:11" ht="16">
      <c r="A103" s="804" t="s">
        <v>340</v>
      </c>
      <c r="B103" s="260"/>
      <c r="C103" s="1106" t="s">
        <v>322</v>
      </c>
      <c r="D103" s="1107"/>
      <c r="E103" s="1108"/>
      <c r="F103" s="1165">
        <f>UvTax10kl*(FremskrStatst+1)</f>
        <v>56624</v>
      </c>
      <c r="G103" s="1172">
        <f>((7/12*elev10kl)+(5/24*elev10klfeb)+(5/24*elev10kl_2))-elev10kl</f>
        <v>0</v>
      </c>
      <c r="H103" s="1173"/>
      <c r="I103" s="1102">
        <f>F103*G103</f>
        <v>0</v>
      </c>
      <c r="J103" s="1102">
        <f>SUM(I101:I103)</f>
        <v>0</v>
      </c>
      <c r="K103" s="798"/>
    </row>
    <row r="104" spans="1:11" ht="16">
      <c r="A104" s="780"/>
      <c r="B104" s="222"/>
      <c r="C104" s="237"/>
      <c r="D104" s="43"/>
      <c r="E104" s="43"/>
      <c r="F104" s="238"/>
      <c r="G104" s="237"/>
      <c r="H104" s="222"/>
      <c r="I104" s="222"/>
      <c r="J104" s="226"/>
      <c r="K104" s="800"/>
    </row>
    <row r="105" spans="1:11" ht="16">
      <c r="A105" s="780"/>
      <c r="B105" s="222"/>
      <c r="C105" s="237"/>
      <c r="D105" s="43"/>
      <c r="E105" s="43"/>
      <c r="F105" s="238"/>
      <c r="G105" s="237"/>
      <c r="H105" s="222"/>
      <c r="I105" s="222"/>
      <c r="J105" s="226"/>
      <c r="K105" s="800"/>
    </row>
    <row r="106" spans="1:11" ht="16">
      <c r="A106" s="780"/>
      <c r="B106" s="222"/>
      <c r="C106" s="222"/>
      <c r="D106" s="43"/>
      <c r="E106" s="238"/>
      <c r="F106" s="239"/>
      <c r="G106" s="261"/>
      <c r="H106" s="240"/>
      <c r="I106" s="240"/>
      <c r="J106" s="785" t="s">
        <v>329</v>
      </c>
      <c r="K106" s="1174">
        <f>(J98+J103)*G87</f>
        <v>0</v>
      </c>
    </row>
    <row r="107" spans="1:11" ht="17" thickBot="1">
      <c r="A107" s="788"/>
      <c r="B107" s="222"/>
      <c r="C107" s="222"/>
      <c r="D107" s="222"/>
      <c r="E107" s="222"/>
      <c r="F107" s="222"/>
      <c r="G107" s="222"/>
      <c r="H107" s="222"/>
      <c r="I107" s="222"/>
      <c r="J107" s="262"/>
      <c r="K107" s="805"/>
    </row>
    <row r="108" spans="1:11" ht="18" thickBot="1">
      <c r="A108" s="1125"/>
      <c r="B108" s="1126" t="str">
        <f>"Årselevtal "&amp;budgetår+1&amp;":"</f>
        <v>Årselevtal 2027:</v>
      </c>
      <c r="C108" s="1127">
        <f>IF(J91=0,0,((J72*7/12)+(J91*5/12)))</f>
        <v>0</v>
      </c>
      <c r="D108" s="1128"/>
      <c r="E108" s="1129" t="s">
        <v>330</v>
      </c>
      <c r="F108" s="1130" t="str">
        <f>IF(K108=0,"",K108/((J72*7/12)+(J91*5/12)))</f>
        <v/>
      </c>
      <c r="G108" s="1128"/>
      <c r="H108" s="1131" t="str">
        <f>"Driftstilskud i alt "&amp;budgetår+1</f>
        <v>Driftstilskud i alt 2027</v>
      </c>
      <c r="I108" s="1132"/>
      <c r="J108" s="1132"/>
      <c r="K108" s="1133">
        <f>K87+K106</f>
        <v>0</v>
      </c>
    </row>
    <row r="109" spans="1:11" ht="5" customHeight="1">
      <c r="A109" s="1175"/>
      <c r="B109" s="1176"/>
      <c r="C109" s="1176"/>
      <c r="D109" s="1176"/>
      <c r="E109" s="1176"/>
      <c r="F109" s="1176"/>
      <c r="G109" s="1176"/>
      <c r="H109" s="1176"/>
      <c r="I109" s="1176"/>
      <c r="J109" s="1176"/>
      <c r="K109" s="798"/>
    </row>
    <row r="110" spans="1:11" ht="16">
      <c r="A110" s="780"/>
      <c r="B110" s="222"/>
      <c r="C110" s="222"/>
      <c r="D110" s="222"/>
      <c r="E110" s="222"/>
      <c r="F110" s="222"/>
      <c r="G110" s="222"/>
      <c r="H110" s="222"/>
      <c r="I110" s="222"/>
      <c r="J110" s="222"/>
      <c r="K110" s="236"/>
    </row>
    <row r="111" spans="1:11" ht="20">
      <c r="A111" s="789" t="s">
        <v>331</v>
      </c>
      <c r="B111" s="247"/>
      <c r="C111" s="247"/>
      <c r="D111" s="247"/>
      <c r="E111" s="222"/>
      <c r="F111" s="222"/>
      <c r="G111" s="222"/>
      <c r="H111" s="222"/>
      <c r="I111" s="222"/>
      <c r="J111" s="222"/>
      <c r="K111" s="236"/>
    </row>
    <row r="112" spans="1:11">
      <c r="A112" s="790"/>
      <c r="B112" s="196" t="s">
        <v>332</v>
      </c>
      <c r="C112" s="248"/>
      <c r="D112" s="195"/>
      <c r="E112" s="2860" t="s">
        <v>333</v>
      </c>
      <c r="F112" s="2861"/>
      <c r="G112" s="2861"/>
      <c r="H112" s="2861"/>
      <c r="I112" s="2862"/>
      <c r="J112" s="1136">
        <f>SUM(E113:H114)</f>
        <v>135843</v>
      </c>
      <c r="K112" s="236"/>
    </row>
    <row r="113" spans="1:11" hidden="1">
      <c r="A113" s="790"/>
      <c r="B113" s="791"/>
      <c r="C113" s="248"/>
      <c r="D113" s="195"/>
      <c r="E113" s="2422">
        <f>IF(Elevtal&lt;=149,InklGrund/12*7,"0")</f>
        <v>79241.75</v>
      </c>
      <c r="F113" s="2422" t="b">
        <f>IF(AND(Elevtal&gt;=150,Elevtal&lt;=299),ROUND(InklGrund*95%/12*7,"0"))</f>
        <v>0</v>
      </c>
      <c r="G113" s="2423" t="str">
        <f>IF(AND(Elevtal&gt;=300,Elevtal&lt;=450),InklGrund*90%/12*7,"0")</f>
        <v>0</v>
      </c>
      <c r="H113" s="2424" t="str">
        <f>IF(Elevtal&gt;450,InklGrund*85%/12*7,"0")</f>
        <v>0</v>
      </c>
      <c r="I113" s="2425"/>
      <c r="J113" s="250"/>
      <c r="K113" s="236"/>
    </row>
    <row r="114" spans="1:11" hidden="1">
      <c r="A114" s="2426"/>
      <c r="B114" s="791"/>
      <c r="C114" s="248"/>
      <c r="D114" s="195"/>
      <c r="E114" s="2422">
        <f>IF(elevtal_2&lt;=149,InklGrund/12*5,"0")</f>
        <v>56601.25</v>
      </c>
      <c r="F114" s="2422" t="str">
        <f>IF(AND(elevtal_2&gt;=150,elevtal_2&lt;=299),InklGrund*95%/12*5,"0")</f>
        <v>0</v>
      </c>
      <c r="G114" s="2423" t="str">
        <f>IF(AND(elevtal_2&gt;=300,elevtal_2&lt;=450),InklGrund*90%/12*5,"0")</f>
        <v>0</v>
      </c>
      <c r="H114" s="2424" t="str">
        <f>IF(elevtal_2&gt;450,InklGrund*85%/12*5,"0")</f>
        <v>0</v>
      </c>
      <c r="I114" s="2425"/>
      <c r="J114" s="250"/>
      <c r="K114" s="236"/>
    </row>
    <row r="115" spans="1:11">
      <c r="A115" s="790"/>
      <c r="B115" s="791"/>
      <c r="C115" s="248"/>
      <c r="D115" s="195"/>
      <c r="E115" s="2897" t="str">
        <f>"Antal elever 5/9 "&amp;budgetår</f>
        <v>Antal elever 5/9 2026</v>
      </c>
      <c r="F115" s="2897"/>
      <c r="G115" s="2898" t="s">
        <v>334</v>
      </c>
      <c r="H115" s="2899"/>
      <c r="I115" s="2900"/>
      <c r="J115" s="1135" t="s">
        <v>335</v>
      </c>
      <c r="K115" s="236"/>
    </row>
    <row r="116" spans="1:11">
      <c r="A116" s="790"/>
      <c r="B116" s="196" t="s">
        <v>336</v>
      </c>
      <c r="C116" s="248"/>
      <c r="D116" s="195"/>
      <c r="E116" s="2889">
        <f>Elevtal</f>
        <v>0</v>
      </c>
      <c r="F116" s="2889"/>
      <c r="G116" s="2893">
        <f>Bygtilsk*(SatsBilag!B43+1)</f>
        <v>2764</v>
      </c>
      <c r="H116" s="2894"/>
      <c r="I116" s="2895"/>
      <c r="J116" s="1136">
        <f>E116*G116</f>
        <v>0</v>
      </c>
      <c r="K116" s="236"/>
    </row>
    <row r="117" spans="1:11">
      <c r="A117" s="790"/>
      <c r="B117" s="196"/>
      <c r="C117" s="248"/>
      <c r="D117" s="195"/>
      <c r="E117" s="197"/>
      <c r="F117" s="198"/>
      <c r="G117" s="227"/>
      <c r="H117" s="249"/>
      <c r="I117" s="199"/>
      <c r="J117" s="250"/>
      <c r="K117" s="236"/>
    </row>
    <row r="118" spans="1:11" ht="2" customHeight="1">
      <c r="A118" s="788"/>
      <c r="B118" s="792"/>
      <c r="C118" s="222"/>
      <c r="D118" s="195"/>
      <c r="E118" s="195"/>
      <c r="F118" s="195"/>
      <c r="G118" s="195"/>
      <c r="H118" s="249"/>
      <c r="I118" s="249"/>
      <c r="J118" s="250"/>
      <c r="K118" s="236"/>
    </row>
    <row r="119" spans="1:11" ht="2" customHeight="1">
      <c r="A119" s="788"/>
      <c r="B119" s="792"/>
      <c r="C119" s="222"/>
      <c r="D119" s="195"/>
      <c r="E119" s="195"/>
      <c r="F119" s="195"/>
      <c r="G119" s="195"/>
      <c r="H119" s="249"/>
      <c r="I119" s="249"/>
      <c r="J119" s="250"/>
      <c r="K119" s="236"/>
    </row>
    <row r="120" spans="1:11" ht="13" customHeight="1">
      <c r="A120" s="790"/>
      <c r="B120" s="2863" t="str">
        <f>"Tilskud til undervisning af SPS elever for hele "&amp;budgetår+1&amp;""</f>
        <v>Tilskud til undervisning af SPS elever for hele 2027</v>
      </c>
      <c r="C120" s="2863"/>
      <c r="D120" s="2864"/>
      <c r="E120" s="2902" t="str">
        <f>"Antal SPS elever pr. 5/9 "&amp;budgetår&amp;""</f>
        <v>Antal SPS elever pr. 5/9 2026</v>
      </c>
      <c r="F120" s="2903"/>
      <c r="G120" s="2903"/>
      <c r="H120" s="2903"/>
      <c r="I120" s="2904"/>
      <c r="J120" s="1135" t="s">
        <v>335</v>
      </c>
      <c r="K120" s="236"/>
    </row>
    <row r="121" spans="1:11">
      <c r="A121" s="790"/>
      <c r="B121" s="2863"/>
      <c r="C121" s="2863"/>
      <c r="D121" s="2863"/>
      <c r="E121" s="2870">
        <f>Forside!F36</f>
        <v>0</v>
      </c>
      <c r="F121" s="2871"/>
      <c r="G121" s="2871"/>
      <c r="H121" s="2871"/>
      <c r="I121" s="2872"/>
      <c r="J121" s="1134">
        <f>(IF(E121&gt;0,SatsBilag!B52,0)+IF(E121&gt;1,SatsBilag!B53,0)+IF(E121&gt;2,(SatsBilag!B54*(E121-2)))+IF(Forside!G10&gt;0,Statstilskud!E121-12)*SatsBilag!B55)</f>
        <v>0</v>
      </c>
      <c r="K121" s="236"/>
    </row>
    <row r="122" spans="1:11">
      <c r="A122" s="788"/>
      <c r="B122" s="792"/>
      <c r="C122" s="222"/>
      <c r="D122" s="195"/>
      <c r="E122" s="195"/>
      <c r="F122" s="195"/>
      <c r="G122" s="195"/>
      <c r="H122" s="249"/>
      <c r="I122" s="249"/>
      <c r="J122" s="250"/>
      <c r="K122" s="236"/>
    </row>
    <row r="123" spans="1:11" ht="13" customHeight="1">
      <c r="A123" s="790"/>
      <c r="B123" s="2901" t="str">
        <f>"Tilskud til personlig assistence samt to-spogede (hele "&amp;budgetår+1&amp;")"</f>
        <v>Tilskud til personlig assistence samt to-spogede (hele 2027)</v>
      </c>
      <c r="C123" s="2901"/>
      <c r="D123" s="2901"/>
      <c r="E123" s="2873" t="s">
        <v>341</v>
      </c>
      <c r="F123" s="2874"/>
      <c r="G123" s="2874"/>
      <c r="H123" s="2874"/>
      <c r="I123" s="2875"/>
      <c r="J123" s="1137" t="s">
        <v>335</v>
      </c>
      <c r="K123" s="236"/>
    </row>
    <row r="124" spans="1:11">
      <c r="A124" s="790"/>
      <c r="B124" s="2901"/>
      <c r="C124" s="2901"/>
      <c r="D124" s="2901"/>
      <c r="E124" s="2876"/>
      <c r="F124" s="2877"/>
      <c r="G124" s="2877"/>
      <c r="H124" s="2877"/>
      <c r="I124" s="2878"/>
      <c r="J124" s="1138"/>
      <c r="K124" s="236"/>
    </row>
    <row r="125" spans="1:11">
      <c r="A125" s="790"/>
      <c r="B125" s="279"/>
      <c r="C125" s="279"/>
      <c r="D125" s="279"/>
      <c r="E125" s="197"/>
      <c r="F125" s="280"/>
      <c r="G125" s="251"/>
      <c r="H125" s="249"/>
      <c r="I125" s="199"/>
      <c r="J125" s="250"/>
      <c r="K125" s="236"/>
    </row>
    <row r="126" spans="1:11">
      <c r="A126" s="788"/>
      <c r="B126" s="792"/>
      <c r="C126" s="222"/>
      <c r="D126" s="195"/>
      <c r="E126" s="1139"/>
      <c r="F126" s="1140" t="str">
        <f>"Antal elever 5/9 "&amp;budgetår</f>
        <v>Antal elever 5/9 2026</v>
      </c>
      <c r="G126" s="1141" t="s">
        <v>334</v>
      </c>
      <c r="H126" s="1142"/>
      <c r="I126" s="1142"/>
      <c r="J126" s="1143" t="s">
        <v>335</v>
      </c>
      <c r="K126" s="236"/>
    </row>
    <row r="127" spans="1:11" ht="19.5" customHeight="1">
      <c r="A127" s="793"/>
      <c r="B127" s="196" t="s">
        <v>338</v>
      </c>
      <c r="C127" s="200"/>
      <c r="D127" s="195"/>
      <c r="E127" s="1144"/>
      <c r="F127" s="1145">
        <f>Forside!F38</f>
        <v>0</v>
      </c>
      <c r="G127" s="1146">
        <f>SatsBilag!B27</f>
        <v>9111</v>
      </c>
      <c r="H127" s="1147"/>
      <c r="I127" s="1148"/>
      <c r="J127" s="1149">
        <f>F127*G127</f>
        <v>0</v>
      </c>
      <c r="K127" s="236"/>
    </row>
    <row r="128" spans="1:11" ht="19.5" customHeight="1" thickBot="1">
      <c r="A128" s="790"/>
      <c r="B128" s="201"/>
      <c r="C128" s="251"/>
      <c r="D128" s="195"/>
      <c r="E128" s="201" t="str">
        <f>"Ændringer 5/9 i "&amp;budgetår+1</f>
        <v>Ændringer 5/9 i 2027</v>
      </c>
      <c r="F128" s="1150">
        <f>Forside!G38-Forside!F38</f>
        <v>0</v>
      </c>
      <c r="G128" s="1150">
        <f>G127/12*5</f>
        <v>3796.25</v>
      </c>
      <c r="H128" s="1151"/>
      <c r="I128" s="1152"/>
      <c r="J128" s="1136">
        <f>F128*G128</f>
        <v>0</v>
      </c>
      <c r="K128" s="236"/>
    </row>
    <row r="129" spans="1:11" ht="17" thickBot="1">
      <c r="A129" s="1154" t="s">
        <v>339</v>
      </c>
      <c r="B129" s="1177"/>
      <c r="C129" s="1178"/>
      <c r="D129" s="1178"/>
      <c r="E129" s="1178"/>
      <c r="F129" s="1177"/>
      <c r="G129" s="1178"/>
      <c r="H129" s="1179"/>
      <c r="I129" s="1179"/>
      <c r="J129" s="1180"/>
      <c r="K129" s="1158">
        <f>SUM(J112:J128)</f>
        <v>135843</v>
      </c>
    </row>
    <row r="130" spans="1:11" ht="16">
      <c r="A130" s="806"/>
      <c r="B130" s="53"/>
      <c r="C130" s="48"/>
      <c r="D130" s="48"/>
      <c r="E130" s="48"/>
      <c r="F130" s="54"/>
      <c r="G130" s="44"/>
      <c r="H130" s="263"/>
      <c r="I130" s="264"/>
      <c r="J130" s="265"/>
      <c r="K130" s="266"/>
    </row>
    <row r="131" spans="1:11">
      <c r="A131" s="222"/>
      <c r="B131" s="222"/>
      <c r="C131" s="222"/>
      <c r="D131" s="222"/>
      <c r="E131" s="222"/>
      <c r="F131" s="222"/>
      <c r="G131" s="222"/>
      <c r="H131" s="222"/>
      <c r="I131" s="222"/>
      <c r="J131" s="222"/>
      <c r="K131" s="222"/>
    </row>
    <row r="132" spans="1:11">
      <c r="A132" s="222"/>
      <c r="B132" s="222"/>
      <c r="C132" s="222"/>
      <c r="D132" s="222"/>
      <c r="E132" s="222"/>
      <c r="F132" s="222"/>
      <c r="G132" s="222"/>
      <c r="H132" s="222"/>
      <c r="I132" s="222"/>
      <c r="J132" s="222"/>
      <c r="K132" s="222"/>
    </row>
    <row r="133" spans="1:11">
      <c r="A133" s="222"/>
      <c r="B133" s="222"/>
      <c r="C133" s="222"/>
      <c r="D133" s="222"/>
      <c r="E133" s="222"/>
      <c r="F133" s="222"/>
      <c r="G133" s="222"/>
      <c r="H133" s="222"/>
      <c r="I133" s="222"/>
      <c r="J133" s="222"/>
      <c r="K133" s="222"/>
    </row>
  </sheetData>
  <sheetProtection sheet="1" formatCells="0" formatColumns="0" formatRows="0"/>
  <mergeCells count="35">
    <mergeCell ref="E115:F115"/>
    <mergeCell ref="G115:I115"/>
    <mergeCell ref="E116:F116"/>
    <mergeCell ref="G116:I116"/>
    <mergeCell ref="B123:D124"/>
    <mergeCell ref="E123:I124"/>
    <mergeCell ref="B120:D121"/>
    <mergeCell ref="E120:I120"/>
    <mergeCell ref="E121:I121"/>
    <mergeCell ref="C40:E40"/>
    <mergeCell ref="B15:B16"/>
    <mergeCell ref="B19:B21"/>
    <mergeCell ref="C19:E19"/>
    <mergeCell ref="C20:E20"/>
    <mergeCell ref="B35:B36"/>
    <mergeCell ref="C39:E39"/>
    <mergeCell ref="E52:F52"/>
    <mergeCell ref="E53:F53"/>
    <mergeCell ref="G52:I52"/>
    <mergeCell ref="G53:I53"/>
    <mergeCell ref="E49:I49"/>
    <mergeCell ref="E112:I112"/>
    <mergeCell ref="B55:D56"/>
    <mergeCell ref="B58:D59"/>
    <mergeCell ref="E55:I55"/>
    <mergeCell ref="E56:I56"/>
    <mergeCell ref="E58:I59"/>
    <mergeCell ref="C102:E102"/>
    <mergeCell ref="B79:B80"/>
    <mergeCell ref="B83:B85"/>
    <mergeCell ref="C83:E83"/>
    <mergeCell ref="C84:E84"/>
    <mergeCell ref="B97:B98"/>
    <mergeCell ref="C101:E101"/>
    <mergeCell ref="A92:C92"/>
  </mergeCells>
  <phoneticPr fontId="55" type="noConversion"/>
  <printOptions horizontalCentered="1" verticalCentered="1"/>
  <pageMargins left="0.78740157480314965" right="0.6692913385826772" top="0.98425196850393704" bottom="0.82677165354330717" header="0.51181102362204722" footer="0.51181102362204722"/>
  <pageSetup paperSize="9" scale="56" fitToHeight="0" orientation="portrait" horizontalDpi="4294967292" verticalDpi="4294967292"/>
  <headerFooter alignWithMargins="0">
    <oddHeader>&amp;C&amp;"Arial,Fed"&amp;12STATSTILSKUD</oddHeader>
    <oddFooter>&amp;L&amp;G&amp;R
&amp;D
&amp;A</oddFooter>
  </headerFooter>
  <rowBreaks count="1" manualBreakCount="1">
    <brk id="66" max="16383" man="1"/>
  </rowBreaks>
  <drawing r:id="rId1"/>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Ark4">
    <tabColor theme="6" tint="0.39997558519241921"/>
  </sheetPr>
  <dimension ref="A1:L155"/>
  <sheetViews>
    <sheetView zoomScale="179" zoomScaleNormal="100" workbookViewId="0"/>
  </sheetViews>
  <sheetFormatPr baseColWidth="10" defaultColWidth="10.83203125" defaultRowHeight="13"/>
  <cols>
    <col min="1" max="1" width="5.1640625" style="5" customWidth="1"/>
    <col min="2" max="2" width="12.5" style="5" customWidth="1"/>
    <col min="3" max="3" width="12" style="5" customWidth="1"/>
    <col min="4" max="9" width="11.1640625" style="5" customWidth="1"/>
    <col min="10" max="10" width="2.1640625" style="5" customWidth="1"/>
    <col min="11" max="16384" width="10.83203125" style="5"/>
  </cols>
  <sheetData>
    <row r="1" spans="1:11" s="99" customFormat="1" ht="26.25" customHeight="1" thickBot="1">
      <c r="A1" s="1181"/>
      <c r="B1" s="1181"/>
      <c r="C1" s="1181"/>
      <c r="D1" s="1181"/>
      <c r="E1" s="1181"/>
      <c r="F1" s="1181"/>
      <c r="G1" s="1181"/>
      <c r="H1" s="1182"/>
      <c r="I1" s="1181"/>
      <c r="J1" s="1181"/>
      <c r="K1" s="1181"/>
    </row>
    <row r="2" spans="1:11" ht="21" thickBot="1">
      <c r="A2" s="2958" t="str">
        <f>"Skolepengeindtægter januar til juli " &amp; budgetår</f>
        <v>Skolepengeindtægter januar til juli 2026</v>
      </c>
      <c r="B2" s="2959"/>
      <c r="C2" s="2959"/>
      <c r="D2" s="2959"/>
      <c r="E2" s="2959"/>
      <c r="F2" s="2959"/>
      <c r="G2" s="2959"/>
      <c r="H2" s="2959"/>
      <c r="I2" s="2959"/>
      <c r="J2" s="2960"/>
    </row>
    <row r="3" spans="1:11" ht="28" customHeight="1" thickBot="1">
      <c r="A3" s="2909" t="s">
        <v>342</v>
      </c>
      <c r="B3" s="2910"/>
      <c r="C3" s="2421"/>
      <c r="D3" s="2905" t="s">
        <v>1472</v>
      </c>
      <c r="E3" s="2906"/>
      <c r="F3" s="2906"/>
      <c r="G3" s="2906"/>
      <c r="H3" s="2906"/>
      <c r="I3" s="2907"/>
      <c r="J3" s="2908"/>
    </row>
    <row r="4" spans="1:11" s="21" customFormat="1">
      <c r="A4" s="696"/>
      <c r="B4" s="1183" t="s">
        <v>343</v>
      </c>
      <c r="C4" s="1184" t="s">
        <v>344</v>
      </c>
      <c r="D4" s="1184" t="s">
        <v>345</v>
      </c>
      <c r="E4" s="1184" t="s">
        <v>346</v>
      </c>
      <c r="F4" s="1184" t="s">
        <v>347</v>
      </c>
      <c r="G4" s="1184" t="s">
        <v>348</v>
      </c>
      <c r="H4" s="1185" t="s">
        <v>349</v>
      </c>
      <c r="I4" s="807"/>
      <c r="J4" s="808"/>
      <c r="K4" s="809"/>
    </row>
    <row r="5" spans="1:11" s="22" customFormat="1" ht="39" customHeight="1">
      <c r="A5" s="1186" t="s">
        <v>350</v>
      </c>
      <c r="B5" s="1187" t="s">
        <v>351</v>
      </c>
      <c r="C5" s="1188" t="s">
        <v>352</v>
      </c>
      <c r="D5" s="1189" t="s">
        <v>353</v>
      </c>
      <c r="E5" s="1189" t="s">
        <v>354</v>
      </c>
      <c r="F5" s="1188" t="s">
        <v>355</v>
      </c>
      <c r="G5" s="1189" t="s">
        <v>356</v>
      </c>
      <c r="H5" s="1190" t="s">
        <v>357</v>
      </c>
      <c r="I5" s="697"/>
      <c r="J5" s="315"/>
    </row>
    <row r="6" spans="1:11" ht="18" customHeight="1">
      <c r="A6" s="852" t="s">
        <v>358</v>
      </c>
      <c r="B6" s="709"/>
      <c r="C6" s="709"/>
      <c r="D6" s="705">
        <f t="shared" ref="D6:D15" si="0">B6-C6</f>
        <v>0</v>
      </c>
      <c r="E6" s="722"/>
      <c r="F6" s="2476"/>
      <c r="G6" s="719">
        <f t="shared" ref="G6:G15" si="1">D6*E6*F6</f>
        <v>0</v>
      </c>
      <c r="H6" s="267">
        <f t="shared" ref="H6:H15" si="2">C6*E6*F6</f>
        <v>0</v>
      </c>
      <c r="I6" s="669"/>
      <c r="J6" s="307"/>
    </row>
    <row r="7" spans="1:11" ht="18" customHeight="1">
      <c r="A7" s="852" t="s">
        <v>359</v>
      </c>
      <c r="B7" s="710"/>
      <c r="C7" s="710"/>
      <c r="D7" s="705">
        <f t="shared" si="0"/>
        <v>0</v>
      </c>
      <c r="E7" s="723"/>
      <c r="F7" s="2477"/>
      <c r="G7" s="719">
        <f t="shared" si="1"/>
        <v>0</v>
      </c>
      <c r="H7" s="267">
        <f t="shared" si="2"/>
        <v>0</v>
      </c>
      <c r="I7" s="669"/>
      <c r="J7" s="307"/>
    </row>
    <row r="8" spans="1:11" ht="18" customHeight="1">
      <c r="A8" s="852" t="s">
        <v>360</v>
      </c>
      <c r="B8" s="710"/>
      <c r="C8" s="710"/>
      <c r="D8" s="705">
        <f t="shared" si="0"/>
        <v>0</v>
      </c>
      <c r="E8" s="723"/>
      <c r="F8" s="2477"/>
      <c r="G8" s="719">
        <f t="shared" si="1"/>
        <v>0</v>
      </c>
      <c r="H8" s="267">
        <f t="shared" si="2"/>
        <v>0</v>
      </c>
      <c r="I8" s="669"/>
      <c r="J8" s="307"/>
    </row>
    <row r="9" spans="1:11" ht="18" customHeight="1">
      <c r="A9" s="853" t="s">
        <v>361</v>
      </c>
      <c r="B9" s="710"/>
      <c r="C9" s="710"/>
      <c r="D9" s="705">
        <f t="shared" si="0"/>
        <v>0</v>
      </c>
      <c r="E9" s="715"/>
      <c r="F9" s="2477"/>
      <c r="G9" s="719">
        <f t="shared" si="1"/>
        <v>0</v>
      </c>
      <c r="H9" s="267">
        <f t="shared" si="2"/>
        <v>0</v>
      </c>
      <c r="I9" s="669"/>
      <c r="J9" s="307"/>
    </row>
    <row r="10" spans="1:11" ht="18" customHeight="1">
      <c r="A10" s="853" t="s">
        <v>362</v>
      </c>
      <c r="B10" s="701"/>
      <c r="C10" s="725"/>
      <c r="D10" s="705">
        <f t="shared" si="0"/>
        <v>0</v>
      </c>
      <c r="E10" s="715"/>
      <c r="F10" s="2477"/>
      <c r="G10" s="719">
        <f t="shared" si="1"/>
        <v>0</v>
      </c>
      <c r="H10" s="267">
        <f t="shared" si="2"/>
        <v>0</v>
      </c>
      <c r="I10" s="669"/>
      <c r="J10" s="307"/>
    </row>
    <row r="11" spans="1:11" ht="18" customHeight="1">
      <c r="A11" s="853" t="s">
        <v>363</v>
      </c>
      <c r="B11" s="701"/>
      <c r="C11" s="725"/>
      <c r="D11" s="705">
        <f t="shared" si="0"/>
        <v>0</v>
      </c>
      <c r="E11" s="715"/>
      <c r="F11" s="2477"/>
      <c r="G11" s="719">
        <f t="shared" si="1"/>
        <v>0</v>
      </c>
      <c r="H11" s="267">
        <f t="shared" si="2"/>
        <v>0</v>
      </c>
      <c r="I11" s="669"/>
      <c r="J11" s="307"/>
    </row>
    <row r="12" spans="1:11" ht="18" customHeight="1">
      <c r="A12" s="853" t="s">
        <v>364</v>
      </c>
      <c r="B12" s="702"/>
      <c r="C12" s="711"/>
      <c r="D12" s="706">
        <f t="shared" si="0"/>
        <v>0</v>
      </c>
      <c r="E12" s="716"/>
      <c r="F12" s="2477"/>
      <c r="G12" s="720">
        <f t="shared" si="1"/>
        <v>0</v>
      </c>
      <c r="H12" s="351">
        <f t="shared" si="2"/>
        <v>0</v>
      </c>
      <c r="I12" s="669"/>
      <c r="J12" s="307"/>
    </row>
    <row r="13" spans="1:11" ht="18" customHeight="1">
      <c r="A13" s="854" t="s">
        <v>365</v>
      </c>
      <c r="B13" s="703"/>
      <c r="C13" s="712"/>
      <c r="D13" s="707">
        <f t="shared" si="0"/>
        <v>0</v>
      </c>
      <c r="E13" s="717"/>
      <c r="F13" s="2477"/>
      <c r="G13" s="719">
        <f t="shared" si="1"/>
        <v>0</v>
      </c>
      <c r="H13" s="350">
        <f t="shared" si="2"/>
        <v>0</v>
      </c>
      <c r="I13" s="669"/>
      <c r="J13" s="307"/>
    </row>
    <row r="14" spans="1:11" ht="18" customHeight="1">
      <c r="A14" s="854" t="s">
        <v>366</v>
      </c>
      <c r="B14" s="701"/>
      <c r="C14" s="710"/>
      <c r="D14" s="705">
        <f t="shared" si="0"/>
        <v>0</v>
      </c>
      <c r="E14" s="714"/>
      <c r="F14" s="2477"/>
      <c r="G14" s="719">
        <f t="shared" si="1"/>
        <v>0</v>
      </c>
      <c r="H14" s="267">
        <f t="shared" si="2"/>
        <v>0</v>
      </c>
      <c r="I14" s="669"/>
      <c r="J14" s="307"/>
    </row>
    <row r="15" spans="1:11" ht="18" customHeight="1">
      <c r="A15" s="854" t="s">
        <v>367</v>
      </c>
      <c r="B15" s="704"/>
      <c r="C15" s="713"/>
      <c r="D15" s="708">
        <f t="shared" si="0"/>
        <v>0</v>
      </c>
      <c r="E15" s="718"/>
      <c r="F15" s="2478"/>
      <c r="G15" s="721">
        <f t="shared" si="1"/>
        <v>0</v>
      </c>
      <c r="H15" s="268">
        <f t="shared" si="2"/>
        <v>0</v>
      </c>
      <c r="I15" s="669"/>
      <c r="J15" s="307"/>
    </row>
    <row r="16" spans="1:11" ht="18" customHeight="1" thickBot="1">
      <c r="A16" s="1191" t="s">
        <v>368</v>
      </c>
      <c r="B16" s="1192"/>
      <c r="C16" s="1192"/>
      <c r="D16" s="1192"/>
      <c r="E16" s="1193">
        <f>SUM(E6:E15)</f>
        <v>0</v>
      </c>
      <c r="F16" s="1194"/>
      <c r="G16" s="1195">
        <f>SUM(G6:G15)</f>
        <v>0</v>
      </c>
      <c r="H16" s="1196">
        <f>SUM(H6:H15)</f>
        <v>0</v>
      </c>
      <c r="I16" s="1197"/>
      <c r="J16" s="1198"/>
      <c r="K16" s="306" t="str">
        <f>IF(E16&lt;&gt;elevtal_1,"Elevtal ikke lig med antal elever tastet på forsiden","")</f>
        <v/>
      </c>
    </row>
    <row r="17" spans="1:11" ht="21" thickBot="1">
      <c r="A17" s="2958" t="str">
        <f>"Skolepengeindtægter aug til december " &amp;budgetår</f>
        <v>Skolepengeindtægter aug til december 2026</v>
      </c>
      <c r="B17" s="2959"/>
      <c r="C17" s="2959"/>
      <c r="D17" s="2959"/>
      <c r="E17" s="2959"/>
      <c r="F17" s="2959"/>
      <c r="G17" s="2959"/>
      <c r="H17" s="2959"/>
      <c r="I17" s="2959"/>
      <c r="J17" s="2960"/>
    </row>
    <row r="18" spans="1:11" ht="29" customHeight="1" thickBot="1">
      <c r="A18" s="2909" t="s">
        <v>342</v>
      </c>
      <c r="B18" s="2910"/>
      <c r="C18" s="2421"/>
      <c r="D18" s="2905" t="s">
        <v>1471</v>
      </c>
      <c r="E18" s="2906"/>
      <c r="F18" s="2906"/>
      <c r="G18" s="2906"/>
      <c r="H18" s="2906"/>
      <c r="I18" s="2907"/>
      <c r="J18" s="2908"/>
    </row>
    <row r="19" spans="1:11">
      <c r="A19" s="698"/>
      <c r="B19" s="1184" t="s">
        <v>343</v>
      </c>
      <c r="C19" s="1184" t="s">
        <v>344</v>
      </c>
      <c r="D19" s="1184" t="s">
        <v>345</v>
      </c>
      <c r="E19" s="1184" t="s">
        <v>346</v>
      </c>
      <c r="F19" s="1184" t="s">
        <v>347</v>
      </c>
      <c r="G19" s="1184" t="s">
        <v>348</v>
      </c>
      <c r="H19" s="1185" t="s">
        <v>349</v>
      </c>
      <c r="I19" s="699"/>
      <c r="J19" s="307"/>
    </row>
    <row r="20" spans="1:11" s="21" customFormat="1" ht="42">
      <c r="A20" s="1186"/>
      <c r="B20" s="1199" t="s">
        <v>351</v>
      </c>
      <c r="C20" s="1188" t="s">
        <v>352</v>
      </c>
      <c r="D20" s="1188" t="s">
        <v>353</v>
      </c>
      <c r="E20" s="1188" t="s">
        <v>354</v>
      </c>
      <c r="F20" s="1188" t="s">
        <v>355</v>
      </c>
      <c r="G20" s="1189" t="s">
        <v>356</v>
      </c>
      <c r="H20" s="1190" t="s">
        <v>357</v>
      </c>
      <c r="I20" s="807"/>
      <c r="J20" s="808"/>
      <c r="K20" s="809"/>
    </row>
    <row r="21" spans="1:11" s="22" customFormat="1" ht="16.5" customHeight="1">
      <c r="A21" s="852" t="s">
        <v>358</v>
      </c>
      <c r="B21" s="709"/>
      <c r="C21" s="709"/>
      <c r="D21" s="728">
        <f t="shared" ref="D21:D30" si="3">B21-C21</f>
        <v>0</v>
      </c>
      <c r="E21" s="722"/>
      <c r="F21" s="722"/>
      <c r="G21" s="719">
        <f t="shared" ref="G21:G30" si="4">D21*E21*F21</f>
        <v>0</v>
      </c>
      <c r="H21" s="267">
        <f t="shared" ref="H21:H30" si="5">C21*E21*F21</f>
        <v>0</v>
      </c>
      <c r="I21" s="810"/>
      <c r="J21" s="315"/>
    </row>
    <row r="22" spans="1:11" ht="16.5" customHeight="1">
      <c r="A22" s="852" t="s">
        <v>359</v>
      </c>
      <c r="B22" s="710"/>
      <c r="C22" s="710"/>
      <c r="D22" s="729">
        <f t="shared" si="3"/>
        <v>0</v>
      </c>
      <c r="E22" s="723"/>
      <c r="F22" s="723"/>
      <c r="G22" s="719">
        <f t="shared" si="4"/>
        <v>0</v>
      </c>
      <c r="H22" s="267">
        <f t="shared" si="5"/>
        <v>0</v>
      </c>
      <c r="I22" s="669"/>
      <c r="J22" s="316"/>
      <c r="K22" s="40"/>
    </row>
    <row r="23" spans="1:11" ht="16.5" customHeight="1">
      <c r="A23" s="852" t="s">
        <v>360</v>
      </c>
      <c r="B23" s="710"/>
      <c r="C23" s="710"/>
      <c r="D23" s="729">
        <f t="shared" si="3"/>
        <v>0</v>
      </c>
      <c r="E23" s="723"/>
      <c r="F23" s="723"/>
      <c r="G23" s="719">
        <f t="shared" si="4"/>
        <v>0</v>
      </c>
      <c r="H23" s="267">
        <f t="shared" si="5"/>
        <v>0</v>
      </c>
      <c r="I23" s="669"/>
      <c r="J23" s="307"/>
      <c r="K23" s="41"/>
    </row>
    <row r="24" spans="1:11" ht="16.5" customHeight="1">
      <c r="A24" s="852" t="s">
        <v>361</v>
      </c>
      <c r="B24" s="711"/>
      <c r="C24" s="724"/>
      <c r="D24" s="730">
        <f t="shared" si="3"/>
        <v>0</v>
      </c>
      <c r="E24" s="727"/>
      <c r="F24" s="727"/>
      <c r="G24" s="726">
        <f t="shared" si="4"/>
        <v>0</v>
      </c>
      <c r="H24" s="732">
        <f t="shared" si="5"/>
        <v>0</v>
      </c>
      <c r="I24" s="669"/>
      <c r="J24" s="316"/>
      <c r="K24" s="40"/>
    </row>
    <row r="25" spans="1:11" ht="16.5" customHeight="1">
      <c r="A25" s="855" t="s">
        <v>362</v>
      </c>
      <c r="B25" s="710"/>
      <c r="C25" s="710"/>
      <c r="D25" s="729">
        <f t="shared" si="3"/>
        <v>0</v>
      </c>
      <c r="E25" s="723"/>
      <c r="F25" s="723"/>
      <c r="G25" s="719">
        <f t="shared" si="4"/>
        <v>0</v>
      </c>
      <c r="H25" s="267">
        <f t="shared" si="5"/>
        <v>0</v>
      </c>
      <c r="I25" s="669"/>
      <c r="J25" s="316"/>
      <c r="K25" s="40"/>
    </row>
    <row r="26" spans="1:11" ht="16.5" customHeight="1">
      <c r="A26" s="855" t="s">
        <v>363</v>
      </c>
      <c r="B26" s="710"/>
      <c r="C26" s="710"/>
      <c r="D26" s="729">
        <f t="shared" si="3"/>
        <v>0</v>
      </c>
      <c r="E26" s="723"/>
      <c r="F26" s="723"/>
      <c r="G26" s="719">
        <f t="shared" si="4"/>
        <v>0</v>
      </c>
      <c r="H26" s="267">
        <f t="shared" si="5"/>
        <v>0</v>
      </c>
      <c r="I26" s="669"/>
      <c r="J26" s="307"/>
      <c r="K26" s="41"/>
    </row>
    <row r="27" spans="1:11" ht="16.5" customHeight="1">
      <c r="A27" s="854" t="s">
        <v>364</v>
      </c>
      <c r="B27" s="725"/>
      <c r="C27" s="725"/>
      <c r="D27" s="729">
        <f t="shared" si="3"/>
        <v>0</v>
      </c>
      <c r="E27" s="727"/>
      <c r="F27" s="727"/>
      <c r="G27" s="719">
        <f t="shared" ref="G27:G29" si="6">D27*E27*F27</f>
        <v>0</v>
      </c>
      <c r="H27" s="267">
        <f t="shared" ref="H27:H29" si="7">C27*E27*F27</f>
        <v>0</v>
      </c>
      <c r="I27" s="669"/>
      <c r="J27" s="307"/>
      <c r="K27" s="41"/>
    </row>
    <row r="28" spans="1:11" ht="16.5" customHeight="1">
      <c r="A28" s="854" t="s">
        <v>365</v>
      </c>
      <c r="B28" s="725"/>
      <c r="C28" s="725"/>
      <c r="D28" s="729">
        <f t="shared" si="3"/>
        <v>0</v>
      </c>
      <c r="E28" s="727"/>
      <c r="F28" s="727"/>
      <c r="G28" s="719">
        <f t="shared" si="6"/>
        <v>0</v>
      </c>
      <c r="H28" s="267">
        <f t="shared" si="7"/>
        <v>0</v>
      </c>
      <c r="I28" s="669"/>
      <c r="J28" s="307"/>
      <c r="K28" s="41"/>
    </row>
    <row r="29" spans="1:11" ht="16.5" customHeight="1">
      <c r="A29" s="854" t="s">
        <v>366</v>
      </c>
      <c r="B29" s="725"/>
      <c r="C29" s="725"/>
      <c r="D29" s="729">
        <f t="shared" si="3"/>
        <v>0</v>
      </c>
      <c r="E29" s="727"/>
      <c r="F29" s="727"/>
      <c r="G29" s="719">
        <f t="shared" si="6"/>
        <v>0</v>
      </c>
      <c r="H29" s="267">
        <f t="shared" si="7"/>
        <v>0</v>
      </c>
      <c r="I29" s="669"/>
      <c r="J29" s="307"/>
      <c r="K29" s="41"/>
    </row>
    <row r="30" spans="1:11" ht="16.5" customHeight="1" thickBot="1">
      <c r="A30" s="854" t="s">
        <v>367</v>
      </c>
      <c r="B30" s="731"/>
      <c r="C30" s="731"/>
      <c r="D30" s="730">
        <f t="shared" si="3"/>
        <v>0</v>
      </c>
      <c r="E30" s="727"/>
      <c r="F30" s="727"/>
      <c r="G30" s="726">
        <f t="shared" si="4"/>
        <v>0</v>
      </c>
      <c r="H30" s="732">
        <f t="shared" si="5"/>
        <v>0</v>
      </c>
      <c r="I30" s="669"/>
      <c r="J30" s="316"/>
      <c r="K30" s="40"/>
    </row>
    <row r="31" spans="1:11" ht="16.5" customHeight="1" thickBot="1">
      <c r="A31" s="1200" t="s">
        <v>368</v>
      </c>
      <c r="B31" s="1201"/>
      <c r="C31" s="1202"/>
      <c r="D31" s="1202"/>
      <c r="E31" s="1203">
        <f>SUM(E21:E30)</f>
        <v>0</v>
      </c>
      <c r="F31" s="1204"/>
      <c r="G31" s="1205">
        <f>SUM(G21:G30)</f>
        <v>0</v>
      </c>
      <c r="H31" s="1206">
        <f>SUM(H21:H30)</f>
        <v>0</v>
      </c>
      <c r="I31" s="1207">
        <f>G16+G31</f>
        <v>0</v>
      </c>
      <c r="J31" s="307"/>
      <c r="K31" s="306" t="str">
        <f>IF(E31&lt;&gt;Elevtal,"Elevtal ikke lig med antal elever tastet på forsiden","")</f>
        <v/>
      </c>
    </row>
    <row r="32" spans="1:11" ht="16.5" customHeight="1" thickBot="1">
      <c r="A32" s="699"/>
      <c r="B32" s="337" t="s">
        <v>369</v>
      </c>
      <c r="C32" s="337"/>
      <c r="D32" s="333"/>
      <c r="E32" s="334"/>
      <c r="F32" s="333"/>
      <c r="G32" s="335"/>
      <c r="H32" s="335"/>
      <c r="I32" s="811"/>
      <c r="J32" s="307"/>
      <c r="K32" s="306"/>
    </row>
    <row r="33" spans="1:11" ht="12" customHeight="1" thickBot="1">
      <c r="A33" s="699"/>
      <c r="B33" s="338" t="s">
        <v>370</v>
      </c>
      <c r="C33" s="337"/>
      <c r="D33" s="333"/>
      <c r="E33" s="334"/>
      <c r="F33" s="333"/>
      <c r="G33" s="335"/>
      <c r="H33" s="335"/>
      <c r="I33" s="1208"/>
      <c r="J33" s="307"/>
      <c r="K33" s="306"/>
    </row>
    <row r="34" spans="1:11" ht="16.5" customHeight="1" thickBot="1">
      <c r="A34" s="699"/>
      <c r="B34" s="345" t="s">
        <v>371</v>
      </c>
      <c r="C34" s="337"/>
      <c r="D34" s="333"/>
      <c r="E34" s="334"/>
      <c r="F34" s="333"/>
      <c r="G34" s="335"/>
      <c r="H34" s="335"/>
      <c r="I34" s="1209"/>
      <c r="J34" s="307"/>
      <c r="K34" s="306"/>
    </row>
    <row r="35" spans="1:11" ht="17" thickBot="1">
      <c r="A35" s="1191"/>
      <c r="B35" s="2964" t="str">
        <f>"Skolepenge i alt til hovedskema lin. 15"</f>
        <v>Skolepenge i alt til hovedskema lin. 15</v>
      </c>
      <c r="C35" s="2964"/>
      <c r="D35" s="2964"/>
      <c r="E35" s="2964"/>
      <c r="F35" s="2965"/>
      <c r="G35" s="1210">
        <f>G16+G31+I34+I32</f>
        <v>0</v>
      </c>
      <c r="H35" s="1211">
        <f>H16+H31</f>
        <v>0</v>
      </c>
      <c r="I35" s="1212">
        <f>I31+I32+I34</f>
        <v>0</v>
      </c>
      <c r="J35" s="1198"/>
      <c r="K35" s="339"/>
    </row>
    <row r="36" spans="1:11" ht="16.5" customHeight="1" thickBot="1">
      <c r="A36" s="1213"/>
      <c r="B36" s="308"/>
      <c r="C36" s="309"/>
      <c r="D36" s="309"/>
      <c r="E36" s="309"/>
      <c r="F36" s="310"/>
      <c r="G36" s="311"/>
      <c r="H36" s="311"/>
      <c r="I36" s="312"/>
    </row>
    <row r="37" spans="1:11" ht="18" customHeight="1" thickBot="1">
      <c r="A37" s="2958" t="str">
        <f>"Indtægter vedrørende SFO (0. - 3. klasse) januar til juli "&amp;budgetår</f>
        <v>Indtægter vedrørende SFO (0. - 3. klasse) januar til juli 2026</v>
      </c>
      <c r="B37" s="2959"/>
      <c r="C37" s="2959"/>
      <c r="D37" s="2959"/>
      <c r="E37" s="2959"/>
      <c r="F37" s="2959"/>
      <c r="G37" s="2959"/>
      <c r="H37" s="2959"/>
      <c r="I37" s="2959"/>
      <c r="J37" s="2960"/>
    </row>
    <row r="38" spans="1:11" ht="30" customHeight="1" thickBot="1">
      <c r="A38" s="2909" t="s">
        <v>342</v>
      </c>
      <c r="B38" s="2910"/>
      <c r="C38" s="2421"/>
      <c r="D38" s="2905" t="s">
        <v>1473</v>
      </c>
      <c r="E38" s="2906"/>
      <c r="F38" s="2906"/>
      <c r="G38" s="2906"/>
      <c r="H38" s="2906"/>
      <c r="I38" s="2907"/>
      <c r="J38" s="2908"/>
    </row>
    <row r="39" spans="1:11" ht="18" customHeight="1">
      <c r="A39" s="698"/>
      <c r="B39" s="1214" t="s">
        <v>343</v>
      </c>
      <c r="C39" s="1214" t="s">
        <v>344</v>
      </c>
      <c r="D39" s="1214" t="s">
        <v>345</v>
      </c>
      <c r="E39" s="1214" t="s">
        <v>346</v>
      </c>
      <c r="F39" s="1214" t="s">
        <v>347</v>
      </c>
      <c r="G39" s="1214" t="s">
        <v>348</v>
      </c>
      <c r="H39" s="1215" t="s">
        <v>349</v>
      </c>
      <c r="I39" s="699"/>
      <c r="J39" s="307"/>
    </row>
    <row r="40" spans="1:11" ht="42">
      <c r="A40" s="1216"/>
      <c r="B40" s="1217" t="s">
        <v>372</v>
      </c>
      <c r="C40" s="1218" t="s">
        <v>352</v>
      </c>
      <c r="D40" s="1218" t="s">
        <v>373</v>
      </c>
      <c r="E40" s="1219" t="s">
        <v>354</v>
      </c>
      <c r="F40" s="1218" t="s">
        <v>374</v>
      </c>
      <c r="G40" s="1217" t="s">
        <v>375</v>
      </c>
      <c r="H40" s="1220" t="s">
        <v>357</v>
      </c>
      <c r="I40" s="699"/>
      <c r="J40" s="307"/>
    </row>
    <row r="41" spans="1:11" ht="16.5" customHeight="1">
      <c r="A41" s="852" t="s">
        <v>358</v>
      </c>
      <c r="B41" s="733"/>
      <c r="C41" s="740"/>
      <c r="D41" s="735">
        <f t="shared" ref="D41:D50" si="8">B41-C41</f>
        <v>0</v>
      </c>
      <c r="E41" s="738"/>
      <c r="F41" s="740"/>
      <c r="G41" s="739">
        <f t="shared" ref="G41:G50" si="9">D41*E41*F41</f>
        <v>0</v>
      </c>
      <c r="H41" s="56">
        <f t="shared" ref="H41:H50" si="10">C41*E41*F41</f>
        <v>0</v>
      </c>
      <c r="I41" s="669"/>
      <c r="J41" s="307"/>
    </row>
    <row r="42" spans="1:11" ht="16.5" customHeight="1">
      <c r="A42" s="852" t="s">
        <v>359</v>
      </c>
      <c r="B42" s="733"/>
      <c r="C42" s="741"/>
      <c r="D42" s="736">
        <f t="shared" si="8"/>
        <v>0</v>
      </c>
      <c r="E42" s="738"/>
      <c r="F42" s="741"/>
      <c r="G42" s="739">
        <f t="shared" si="9"/>
        <v>0</v>
      </c>
      <c r="H42" s="56">
        <f t="shared" si="10"/>
        <v>0</v>
      </c>
      <c r="I42" s="669"/>
      <c r="J42" s="307"/>
    </row>
    <row r="43" spans="1:11" ht="16.5" customHeight="1">
      <c r="A43" s="852" t="s">
        <v>360</v>
      </c>
      <c r="B43" s="733"/>
      <c r="C43" s="741"/>
      <c r="D43" s="736">
        <f t="shared" si="8"/>
        <v>0</v>
      </c>
      <c r="E43" s="738"/>
      <c r="F43" s="741"/>
      <c r="G43" s="739">
        <f t="shared" si="9"/>
        <v>0</v>
      </c>
      <c r="H43" s="56">
        <f t="shared" si="10"/>
        <v>0</v>
      </c>
      <c r="I43" s="669"/>
      <c r="J43" s="307"/>
    </row>
    <row r="44" spans="1:11" ht="16.5" customHeight="1">
      <c r="A44" s="852" t="s">
        <v>361</v>
      </c>
      <c r="B44" s="733"/>
      <c r="C44" s="741"/>
      <c r="D44" s="736">
        <f>B44-C44</f>
        <v>0</v>
      </c>
      <c r="E44" s="738"/>
      <c r="F44" s="741"/>
      <c r="G44" s="739">
        <f>D44*E44*F44</f>
        <v>0</v>
      </c>
      <c r="H44" s="56">
        <f>C44*E44*F44</f>
        <v>0</v>
      </c>
      <c r="I44" s="669"/>
      <c r="J44" s="307"/>
    </row>
    <row r="45" spans="1:11" ht="17" customHeight="1">
      <c r="A45" s="855" t="s">
        <v>362</v>
      </c>
      <c r="B45" s="733"/>
      <c r="C45" s="741"/>
      <c r="D45" s="736">
        <f>B45-C45</f>
        <v>0</v>
      </c>
      <c r="E45" s="738"/>
      <c r="F45" s="741"/>
      <c r="G45" s="739">
        <f>D45*E45*F45</f>
        <v>0</v>
      </c>
      <c r="H45" s="56">
        <f>C45*E45*F45</f>
        <v>0</v>
      </c>
      <c r="I45" s="669"/>
      <c r="J45" s="307"/>
    </row>
    <row r="46" spans="1:11" ht="16.5" customHeight="1">
      <c r="A46" s="855" t="s">
        <v>363</v>
      </c>
      <c r="B46" s="733"/>
      <c r="C46" s="741"/>
      <c r="D46" s="736">
        <f t="shared" si="8"/>
        <v>0</v>
      </c>
      <c r="E46" s="738"/>
      <c r="F46" s="741"/>
      <c r="G46" s="739">
        <f t="shared" si="9"/>
        <v>0</v>
      </c>
      <c r="H46" s="56">
        <f t="shared" si="10"/>
        <v>0</v>
      </c>
      <c r="I46" s="669"/>
      <c r="J46" s="307"/>
    </row>
    <row r="47" spans="1:11" ht="16.5" customHeight="1">
      <c r="A47" s="854" t="s">
        <v>364</v>
      </c>
      <c r="B47" s="733"/>
      <c r="C47" s="741"/>
      <c r="D47" s="736">
        <f t="shared" si="8"/>
        <v>0</v>
      </c>
      <c r="E47" s="738"/>
      <c r="F47" s="741"/>
      <c r="G47" s="739">
        <f t="shared" ref="G47:G49" si="11">D47*E47*F47</f>
        <v>0</v>
      </c>
      <c r="H47" s="56">
        <f t="shared" ref="H47:H49" si="12">C47*E47*F47</f>
        <v>0</v>
      </c>
      <c r="I47" s="669"/>
      <c r="J47" s="307"/>
    </row>
    <row r="48" spans="1:11" ht="16.5" customHeight="1">
      <c r="A48" s="854" t="s">
        <v>365</v>
      </c>
      <c r="B48" s="733"/>
      <c r="C48" s="741"/>
      <c r="D48" s="736">
        <f t="shared" si="8"/>
        <v>0</v>
      </c>
      <c r="E48" s="738"/>
      <c r="F48" s="741"/>
      <c r="G48" s="739">
        <f t="shared" si="11"/>
        <v>0</v>
      </c>
      <c r="H48" s="56">
        <f t="shared" si="12"/>
        <v>0</v>
      </c>
      <c r="I48" s="669"/>
      <c r="J48" s="307"/>
    </row>
    <row r="49" spans="1:11" ht="16.5" customHeight="1">
      <c r="A49" s="854" t="s">
        <v>366</v>
      </c>
      <c r="B49" s="733"/>
      <c r="C49" s="741"/>
      <c r="D49" s="736">
        <f t="shared" si="8"/>
        <v>0</v>
      </c>
      <c r="E49" s="738"/>
      <c r="F49" s="741"/>
      <c r="G49" s="739">
        <f t="shared" si="11"/>
        <v>0</v>
      </c>
      <c r="H49" s="56">
        <f t="shared" si="12"/>
        <v>0</v>
      </c>
      <c r="I49" s="669"/>
      <c r="J49" s="307"/>
    </row>
    <row r="50" spans="1:11" s="14" customFormat="1">
      <c r="A50" s="812" t="s">
        <v>367</v>
      </c>
      <c r="B50" s="733"/>
      <c r="C50" s="713"/>
      <c r="D50" s="737">
        <f t="shared" si="8"/>
        <v>0</v>
      </c>
      <c r="E50" s="738"/>
      <c r="F50" s="713"/>
      <c r="G50" s="739">
        <f t="shared" si="9"/>
        <v>0</v>
      </c>
      <c r="H50" s="56">
        <f t="shared" si="10"/>
        <v>0</v>
      </c>
      <c r="I50" s="748"/>
      <c r="J50" s="314"/>
      <c r="K50" s="813"/>
    </row>
    <row r="51" spans="1:11" ht="18" customHeight="1" thickBot="1">
      <c r="A51" s="1221" t="s">
        <v>368</v>
      </c>
      <c r="B51" s="1192"/>
      <c r="C51" s="1192"/>
      <c r="D51" s="1192"/>
      <c r="E51" s="1222">
        <f>SUM(E41:E50)</f>
        <v>0</v>
      </c>
      <c r="F51" s="1194"/>
      <c r="G51" s="1223">
        <f>SUM(G41:G50)</f>
        <v>0</v>
      </c>
      <c r="H51" s="1224">
        <f>SUM(H41:H50)</f>
        <v>0</v>
      </c>
      <c r="I51" s="1197"/>
      <c r="J51" s="1198"/>
      <c r="K51" s="306" t="str">
        <f>IF(E51&lt;&gt;SUM(Forside!E38),"SFO-børn ikke lig med antal SFO-børn tastet på forsiden","")</f>
        <v/>
      </c>
    </row>
    <row r="52" spans="1:11" ht="18" customHeight="1" thickBot="1">
      <c r="A52" s="2961" t="str">
        <f>"Indtægter vedrørende SFO (0. - 3. klasse) august til december "&amp;budgetår</f>
        <v>Indtægter vedrørende SFO (0. - 3. klasse) august til december 2026</v>
      </c>
      <c r="B52" s="2962"/>
      <c r="C52" s="2962"/>
      <c r="D52" s="2962"/>
      <c r="E52" s="2962"/>
      <c r="F52" s="2962"/>
      <c r="G52" s="2962"/>
      <c r="H52" s="2962"/>
      <c r="I52" s="2962"/>
      <c r="J52" s="2963"/>
    </row>
    <row r="53" spans="1:11" ht="29" customHeight="1" thickBot="1">
      <c r="A53" s="2909" t="s">
        <v>342</v>
      </c>
      <c r="B53" s="2910"/>
      <c r="C53" s="2421" t="str">
        <f>IF(C38&gt;0,C38,"")</f>
        <v/>
      </c>
      <c r="D53" s="2905" t="s">
        <v>1474</v>
      </c>
      <c r="E53" s="2906"/>
      <c r="F53" s="2906"/>
      <c r="G53" s="2906"/>
      <c r="H53" s="2906"/>
      <c r="I53" s="2907"/>
      <c r="J53" s="2908"/>
    </row>
    <row r="54" spans="1:11" ht="18" customHeight="1">
      <c r="A54" s="1225"/>
      <c r="B54" s="1226" t="s">
        <v>343</v>
      </c>
      <c r="C54" s="1226" t="s">
        <v>344</v>
      </c>
      <c r="D54" s="1226" t="s">
        <v>345</v>
      </c>
      <c r="E54" s="1226" t="s">
        <v>346</v>
      </c>
      <c r="F54" s="1226" t="s">
        <v>347</v>
      </c>
      <c r="G54" s="1226" t="s">
        <v>348</v>
      </c>
      <c r="H54" s="1227" t="s">
        <v>349</v>
      </c>
      <c r="I54" s="856"/>
      <c r="J54" s="857"/>
    </row>
    <row r="55" spans="1:11" ht="42">
      <c r="A55" s="1216"/>
      <c r="B55" s="1217" t="s">
        <v>372</v>
      </c>
      <c r="C55" s="1217" t="s">
        <v>352</v>
      </c>
      <c r="D55" s="1217" t="s">
        <v>373</v>
      </c>
      <c r="E55" s="1218" t="s">
        <v>354</v>
      </c>
      <c r="F55" s="1217" t="s">
        <v>374</v>
      </c>
      <c r="G55" s="1217" t="s">
        <v>375</v>
      </c>
      <c r="H55" s="1220" t="s">
        <v>357</v>
      </c>
      <c r="I55" s="699"/>
      <c r="J55" s="307"/>
    </row>
    <row r="56" spans="1:11" ht="17" customHeight="1">
      <c r="A56" s="852" t="s">
        <v>358</v>
      </c>
      <c r="B56" s="733"/>
      <c r="C56" s="740"/>
      <c r="D56" s="742">
        <f t="shared" ref="D56:D65" si="13">B56-C56</f>
        <v>0</v>
      </c>
      <c r="E56" s="740"/>
      <c r="F56" s="734"/>
      <c r="G56" s="55">
        <f t="shared" ref="G56:G65" si="14">D56*E56*F56</f>
        <v>0</v>
      </c>
      <c r="H56" s="56">
        <f t="shared" ref="H56:H65" si="15">C56*E56*F56</f>
        <v>0</v>
      </c>
      <c r="I56" s="669"/>
      <c r="J56" s="307"/>
    </row>
    <row r="57" spans="1:11" ht="16.5" customHeight="1">
      <c r="A57" s="852" t="s">
        <v>359</v>
      </c>
      <c r="B57" s="733"/>
      <c r="C57" s="741"/>
      <c r="D57" s="742">
        <f>B57-C57</f>
        <v>0</v>
      </c>
      <c r="E57" s="741"/>
      <c r="F57" s="734"/>
      <c r="G57" s="55">
        <f>D57*E57*F57</f>
        <v>0</v>
      </c>
      <c r="H57" s="56">
        <f>C57*E57*F57</f>
        <v>0</v>
      </c>
      <c r="I57" s="669"/>
      <c r="J57" s="307"/>
    </row>
    <row r="58" spans="1:11" ht="16.5" customHeight="1">
      <c r="A58" s="852" t="s">
        <v>360</v>
      </c>
      <c r="B58" s="203"/>
      <c r="C58" s="203"/>
      <c r="D58" s="742">
        <f>B58-C58</f>
        <v>0</v>
      </c>
      <c r="E58" s="741"/>
      <c r="F58" s="734"/>
      <c r="G58" s="55">
        <f>D58*E58*F58</f>
        <v>0</v>
      </c>
      <c r="H58" s="56">
        <f>C58*E58*F58</f>
        <v>0</v>
      </c>
      <c r="I58" s="669"/>
      <c r="J58" s="307"/>
    </row>
    <row r="59" spans="1:11" ht="16.5" customHeight="1">
      <c r="A59" s="852" t="s">
        <v>361</v>
      </c>
      <c r="B59" s="203"/>
      <c r="C59" s="203"/>
      <c r="D59" s="742">
        <f t="shared" si="13"/>
        <v>0</v>
      </c>
      <c r="E59" s="741"/>
      <c r="F59" s="734"/>
      <c r="G59" s="55">
        <f t="shared" si="14"/>
        <v>0</v>
      </c>
      <c r="H59" s="56">
        <f t="shared" si="15"/>
        <v>0</v>
      </c>
      <c r="I59" s="669"/>
      <c r="J59" s="307"/>
    </row>
    <row r="60" spans="1:11" ht="16.5" customHeight="1">
      <c r="A60" s="855" t="s">
        <v>362</v>
      </c>
      <c r="B60" s="203"/>
      <c r="C60" s="203"/>
      <c r="D60" s="742">
        <f t="shared" si="13"/>
        <v>0</v>
      </c>
      <c r="E60" s="741"/>
      <c r="F60" s="734"/>
      <c r="G60" s="55">
        <f t="shared" si="14"/>
        <v>0</v>
      </c>
      <c r="H60" s="56">
        <f t="shared" si="15"/>
        <v>0</v>
      </c>
      <c r="I60" s="669"/>
      <c r="J60" s="307"/>
    </row>
    <row r="61" spans="1:11" ht="16.5" customHeight="1">
      <c r="A61" s="854" t="s">
        <v>363</v>
      </c>
      <c r="B61" s="203"/>
      <c r="C61" s="203"/>
      <c r="D61" s="742">
        <f>B61-C61</f>
        <v>0</v>
      </c>
      <c r="E61" s="741"/>
      <c r="F61" s="734"/>
      <c r="G61" s="55">
        <f t="shared" ref="G61:G62" si="16">D61*E61*F61</f>
        <v>0</v>
      </c>
      <c r="H61" s="56">
        <f t="shared" ref="H61:H62" si="17">C61*E61*F61</f>
        <v>0</v>
      </c>
      <c r="I61" s="669"/>
      <c r="J61" s="307"/>
    </row>
    <row r="62" spans="1:11" ht="16.5" customHeight="1">
      <c r="A62" s="854" t="s">
        <v>364</v>
      </c>
      <c r="B62" s="203"/>
      <c r="C62" s="203"/>
      <c r="D62" s="742">
        <f t="shared" si="13"/>
        <v>0</v>
      </c>
      <c r="E62" s="741"/>
      <c r="F62" s="734"/>
      <c r="G62" s="55">
        <f t="shared" si="16"/>
        <v>0</v>
      </c>
      <c r="H62" s="56">
        <f t="shared" si="17"/>
        <v>0</v>
      </c>
      <c r="I62" s="669"/>
      <c r="J62" s="307"/>
    </row>
    <row r="63" spans="1:11" ht="16.5" customHeight="1">
      <c r="A63" s="854" t="s">
        <v>365</v>
      </c>
      <c r="B63" s="203"/>
      <c r="C63" s="203"/>
      <c r="D63" s="742">
        <f t="shared" si="13"/>
        <v>0</v>
      </c>
      <c r="E63" s="741"/>
      <c r="F63" s="734"/>
      <c r="G63" s="55">
        <f t="shared" si="14"/>
        <v>0</v>
      </c>
      <c r="H63" s="56">
        <f t="shared" si="15"/>
        <v>0</v>
      </c>
      <c r="I63" s="669"/>
      <c r="J63" s="307"/>
    </row>
    <row r="64" spans="1:11" ht="13.5" customHeight="1">
      <c r="A64" s="854" t="s">
        <v>366</v>
      </c>
      <c r="B64" s="203"/>
      <c r="C64" s="203"/>
      <c r="D64" s="742">
        <f t="shared" si="13"/>
        <v>0</v>
      </c>
      <c r="E64" s="741"/>
      <c r="F64" s="734"/>
      <c r="G64" s="55">
        <f t="shared" si="14"/>
        <v>0</v>
      </c>
      <c r="H64" s="56">
        <f t="shared" si="15"/>
        <v>0</v>
      </c>
      <c r="I64" s="669"/>
      <c r="J64" s="307"/>
    </row>
    <row r="65" spans="1:12" s="14" customFormat="1" ht="14" thickBot="1">
      <c r="A65" s="812" t="s">
        <v>367</v>
      </c>
      <c r="B65" s="744"/>
      <c r="C65" s="744"/>
      <c r="D65" s="743">
        <f t="shared" si="13"/>
        <v>0</v>
      </c>
      <c r="E65" s="731"/>
      <c r="F65" s="745"/>
      <c r="G65" s="746">
        <f t="shared" si="14"/>
        <v>0</v>
      </c>
      <c r="H65" s="747">
        <f t="shared" si="15"/>
        <v>0</v>
      </c>
      <c r="I65" s="748"/>
      <c r="J65" s="314"/>
      <c r="K65" s="813"/>
    </row>
    <row r="66" spans="1:12" ht="18" customHeight="1" thickBot="1">
      <c r="A66" s="858" t="s">
        <v>368</v>
      </c>
      <c r="B66" s="1201"/>
      <c r="C66" s="1202"/>
      <c r="D66" s="1202"/>
      <c r="E66" s="1228">
        <f>SUM(E56:E65)</f>
        <v>0</v>
      </c>
      <c r="F66" s="1229"/>
      <c r="G66" s="1230">
        <f>SUM(G56:G65)</f>
        <v>0</v>
      </c>
      <c r="H66" s="1231">
        <f>SUM(H56:H65)</f>
        <v>0</v>
      </c>
      <c r="I66" s="1207">
        <f>G66+G51</f>
        <v>0</v>
      </c>
      <c r="J66" s="307"/>
      <c r="K66" s="306" t="str">
        <f>IF(E66&lt;&gt;SUM(Forside!F38),"SFO-børn ikke lig med antal SFO-børn tastet på forsiden","")</f>
        <v/>
      </c>
    </row>
    <row r="67" spans="1:12" ht="16.5" customHeight="1" thickBot="1">
      <c r="A67" s="699"/>
      <c r="B67" s="337" t="s">
        <v>376</v>
      </c>
      <c r="C67" s="337"/>
      <c r="D67" s="333"/>
      <c r="E67" s="334"/>
      <c r="F67" s="333"/>
      <c r="G67" s="335"/>
      <c r="H67" s="335"/>
      <c r="I67" s="811"/>
      <c r="J67" s="307"/>
      <c r="K67" s="306"/>
    </row>
    <row r="68" spans="1:12" ht="12" customHeight="1" thickBot="1">
      <c r="A68" s="699"/>
      <c r="B68" s="338" t="s">
        <v>377</v>
      </c>
      <c r="C68" s="337"/>
      <c r="D68" s="333"/>
      <c r="E68" s="334"/>
      <c r="F68" s="333"/>
      <c r="G68" s="335"/>
      <c r="H68" s="335"/>
      <c r="I68" s="1232"/>
      <c r="J68" s="307"/>
      <c r="K68" s="306"/>
    </row>
    <row r="69" spans="1:12" ht="16.5" customHeight="1" thickBot="1">
      <c r="A69" s="699"/>
      <c r="B69" s="337" t="s">
        <v>378</v>
      </c>
      <c r="C69" s="337"/>
      <c r="D69" s="333"/>
      <c r="E69" s="334"/>
      <c r="F69" s="333"/>
      <c r="G69" s="335"/>
      <c r="H69" s="335"/>
      <c r="I69" s="1209"/>
      <c r="J69" s="307"/>
      <c r="K69" s="306"/>
    </row>
    <row r="70" spans="1:12" ht="18" customHeight="1" thickBot="1">
      <c r="A70" s="1233"/>
      <c r="B70" s="2964" t="s">
        <v>379</v>
      </c>
      <c r="C70" s="2964"/>
      <c r="D70" s="2964"/>
      <c r="E70" s="2964"/>
      <c r="F70" s="2964"/>
      <c r="G70" s="1234">
        <f>G51+G66+I69+I67</f>
        <v>0</v>
      </c>
      <c r="H70" s="1211">
        <f>H51+H66</f>
        <v>0</v>
      </c>
      <c r="I70" s="1212">
        <f>I66+I67+I69</f>
        <v>0</v>
      </c>
      <c r="J70" s="1198"/>
      <c r="K70" s="339"/>
    </row>
    <row r="71" spans="1:12" ht="18" customHeight="1" thickBot="1">
      <c r="A71" s="1235"/>
      <c r="B71" s="24"/>
      <c r="C71" s="186"/>
      <c r="D71" s="336"/>
      <c r="E71" s="336"/>
      <c r="F71" s="310"/>
      <c r="G71" s="311"/>
      <c r="H71" s="311"/>
      <c r="I71" s="312"/>
      <c r="J71" s="1213"/>
    </row>
    <row r="72" spans="1:12" ht="18" customHeight="1" thickBot="1">
      <c r="A72" s="2966" t="str">
        <f>"Indtægter vedrørende skolens klubtilbud(4. klasse og opefter) januar til juli "&amp;budgetår</f>
        <v>Indtægter vedrørende skolens klubtilbud(4. klasse og opefter) januar til juli 2026</v>
      </c>
      <c r="B72" s="2967"/>
      <c r="C72" s="2967"/>
      <c r="D72" s="2967"/>
      <c r="E72" s="2967"/>
      <c r="F72" s="2967"/>
      <c r="G72" s="2967"/>
      <c r="H72" s="2967"/>
      <c r="I72" s="2967"/>
      <c r="J72" s="2968"/>
      <c r="L72" s="23"/>
    </row>
    <row r="73" spans="1:12" ht="29" customHeight="1" thickBot="1">
      <c r="A73" s="2909" t="s">
        <v>342</v>
      </c>
      <c r="B73" s="2910"/>
      <c r="C73" s="2421"/>
      <c r="D73" s="2905" t="s">
        <v>1473</v>
      </c>
      <c r="E73" s="2906"/>
      <c r="F73" s="2906"/>
      <c r="G73" s="2906"/>
      <c r="H73" s="2906"/>
      <c r="I73" s="2907"/>
      <c r="J73" s="2908"/>
    </row>
    <row r="74" spans="1:12" ht="18" customHeight="1">
      <c r="A74" s="1225"/>
      <c r="B74" s="1226" t="s">
        <v>343</v>
      </c>
      <c r="C74" s="1226" t="s">
        <v>344</v>
      </c>
      <c r="D74" s="1226" t="s">
        <v>345</v>
      </c>
      <c r="E74" s="1226" t="s">
        <v>346</v>
      </c>
      <c r="F74" s="1226" t="s">
        <v>347</v>
      </c>
      <c r="G74" s="1226" t="s">
        <v>348</v>
      </c>
      <c r="H74" s="1227" t="s">
        <v>349</v>
      </c>
      <c r="I74" s="856"/>
      <c r="J74" s="857"/>
      <c r="K74" s="42"/>
      <c r="L74" s="42"/>
    </row>
    <row r="75" spans="1:12" ht="42">
      <c r="A75" s="1216"/>
      <c r="B75" s="1217" t="s">
        <v>372</v>
      </c>
      <c r="C75" s="1217" t="s">
        <v>352</v>
      </c>
      <c r="D75" s="1217" t="s">
        <v>373</v>
      </c>
      <c r="E75" s="1217" t="s">
        <v>354</v>
      </c>
      <c r="F75" s="1217" t="s">
        <v>374</v>
      </c>
      <c r="G75" s="1217" t="s">
        <v>375</v>
      </c>
      <c r="H75" s="1220" t="s">
        <v>357</v>
      </c>
      <c r="I75" s="699"/>
      <c r="J75" s="307"/>
    </row>
    <row r="76" spans="1:12" ht="17" customHeight="1">
      <c r="A76" s="814">
        <v>1</v>
      </c>
      <c r="B76" s="203"/>
      <c r="C76" s="859"/>
      <c r="D76" s="860">
        <f t="shared" ref="D76:D81" si="18">B76-C76</f>
        <v>0</v>
      </c>
      <c r="E76" s="859"/>
      <c r="F76" s="859"/>
      <c r="G76" s="55">
        <f t="shared" ref="G76:G81" si="19">D76*E76*F76</f>
        <v>0</v>
      </c>
      <c r="H76" s="56">
        <f t="shared" ref="H76:H81" si="20">C76*E76*F76</f>
        <v>0</v>
      </c>
      <c r="I76" s="669"/>
      <c r="J76" s="307"/>
    </row>
    <row r="77" spans="1:12" ht="17" customHeight="1">
      <c r="A77" s="814">
        <v>2</v>
      </c>
      <c r="B77" s="203"/>
      <c r="C77" s="749"/>
      <c r="D77" s="750">
        <f t="shared" si="18"/>
        <v>0</v>
      </c>
      <c r="E77" s="749"/>
      <c r="F77" s="749"/>
      <c r="G77" s="55">
        <f t="shared" si="19"/>
        <v>0</v>
      </c>
      <c r="H77" s="56">
        <f t="shared" si="20"/>
        <v>0</v>
      </c>
      <c r="I77" s="669"/>
      <c r="J77" s="307"/>
    </row>
    <row r="78" spans="1:12" ht="17" customHeight="1">
      <c r="A78" s="814">
        <v>3</v>
      </c>
      <c r="B78" s="203"/>
      <c r="C78" s="749"/>
      <c r="D78" s="750">
        <f t="shared" si="18"/>
        <v>0</v>
      </c>
      <c r="E78" s="749"/>
      <c r="F78" s="749"/>
      <c r="G78" s="55">
        <f t="shared" si="19"/>
        <v>0</v>
      </c>
      <c r="H78" s="56">
        <f t="shared" si="20"/>
        <v>0</v>
      </c>
      <c r="I78" s="669"/>
      <c r="J78" s="307"/>
    </row>
    <row r="79" spans="1:12" ht="17" customHeight="1">
      <c r="A79" s="814">
        <v>4</v>
      </c>
      <c r="B79" s="203"/>
      <c r="C79" s="749"/>
      <c r="D79" s="750">
        <f t="shared" si="18"/>
        <v>0</v>
      </c>
      <c r="E79" s="749"/>
      <c r="F79" s="749"/>
      <c r="G79" s="55">
        <f t="shared" si="19"/>
        <v>0</v>
      </c>
      <c r="H79" s="56">
        <f t="shared" si="20"/>
        <v>0</v>
      </c>
      <c r="I79" s="669"/>
      <c r="J79" s="307"/>
    </row>
    <row r="80" spans="1:12" ht="17" customHeight="1">
      <c r="A80" s="814">
        <v>5</v>
      </c>
      <c r="B80" s="203"/>
      <c r="C80" s="749"/>
      <c r="D80" s="750">
        <f t="shared" si="18"/>
        <v>0</v>
      </c>
      <c r="E80" s="749"/>
      <c r="F80" s="749"/>
      <c r="G80" s="55">
        <f t="shared" si="19"/>
        <v>0</v>
      </c>
      <c r="H80" s="56">
        <f t="shared" si="20"/>
        <v>0</v>
      </c>
      <c r="I80" s="669"/>
      <c r="J80" s="307"/>
    </row>
    <row r="81" spans="1:11" ht="17" customHeight="1" thickBot="1">
      <c r="A81" s="814">
        <v>6</v>
      </c>
      <c r="B81" s="744"/>
      <c r="C81" s="751"/>
      <c r="D81" s="752">
        <f t="shared" si="18"/>
        <v>0</v>
      </c>
      <c r="E81" s="751"/>
      <c r="F81" s="751"/>
      <c r="G81" s="746">
        <f t="shared" si="19"/>
        <v>0</v>
      </c>
      <c r="H81" s="747">
        <f t="shared" si="20"/>
        <v>0</v>
      </c>
      <c r="I81" s="748"/>
      <c r="J81" s="314"/>
    </row>
    <row r="82" spans="1:11" ht="17" customHeight="1" thickBot="1">
      <c r="A82" s="861" t="s">
        <v>368</v>
      </c>
      <c r="B82" s="862"/>
      <c r="C82" s="863"/>
      <c r="D82" s="863"/>
      <c r="E82" s="1236">
        <f>SUM(E76:E81)</f>
        <v>0</v>
      </c>
      <c r="F82" s="1237"/>
      <c r="G82" s="1238">
        <f>SUM(G76:G81)</f>
        <v>0</v>
      </c>
      <c r="H82" s="1239">
        <f>SUM(H76:H81)</f>
        <v>0</v>
      </c>
      <c r="I82" s="340"/>
      <c r="J82" s="307"/>
      <c r="K82" s="306" t="str">
        <f>IF(E82&lt;&gt;SUM(Forside!E39),"SFO-børn ikke lig med antal SFO-børn tastet på forsiden","")</f>
        <v/>
      </c>
    </row>
    <row r="83" spans="1:11" ht="19" thickBot="1">
      <c r="A83" s="2969" t="str">
        <f>"Indtægter vedrørende skolens klubtilbud(4. klasse og opefter) august til december "&amp;budgetår</f>
        <v>Indtægter vedrørende skolens klubtilbud(4. klasse og opefter) august til december 2026</v>
      </c>
      <c r="B83" s="2970"/>
      <c r="C83" s="2970"/>
      <c r="D83" s="2970"/>
      <c r="E83" s="2970"/>
      <c r="F83" s="2970"/>
      <c r="G83" s="2970"/>
      <c r="H83" s="2970"/>
      <c r="I83" s="2970"/>
      <c r="J83" s="2971"/>
    </row>
    <row r="84" spans="1:11" ht="29" customHeight="1" thickBot="1">
      <c r="A84" s="2909" t="s">
        <v>342</v>
      </c>
      <c r="B84" s="2910"/>
      <c r="C84" s="2421" t="str">
        <f>IF(C73&gt;0,C73,"")</f>
        <v/>
      </c>
      <c r="D84" s="2905" t="s">
        <v>1474</v>
      </c>
      <c r="E84" s="2906"/>
      <c r="F84" s="2906"/>
      <c r="G84" s="2906"/>
      <c r="H84" s="2906"/>
      <c r="I84" s="2911"/>
      <c r="J84" s="2908"/>
    </row>
    <row r="85" spans="1:11">
      <c r="A85" s="698"/>
      <c r="B85" s="1214" t="s">
        <v>343</v>
      </c>
      <c r="C85" s="1214" t="s">
        <v>344</v>
      </c>
      <c r="D85" s="1214" t="s">
        <v>345</v>
      </c>
      <c r="E85" s="1214" t="s">
        <v>346</v>
      </c>
      <c r="F85" s="1214" t="s">
        <v>347</v>
      </c>
      <c r="G85" s="1214" t="s">
        <v>348</v>
      </c>
      <c r="H85" s="1215" t="s">
        <v>349</v>
      </c>
      <c r="I85" s="699"/>
      <c r="J85" s="307"/>
    </row>
    <row r="86" spans="1:11" s="14" customFormat="1" ht="44" customHeight="1">
      <c r="A86" s="1216"/>
      <c r="B86" s="1217" t="s">
        <v>372</v>
      </c>
      <c r="C86" s="1217" t="s">
        <v>352</v>
      </c>
      <c r="D86" s="1217" t="s">
        <v>373</v>
      </c>
      <c r="E86" s="1217" t="s">
        <v>354</v>
      </c>
      <c r="F86" s="1217" t="s">
        <v>374</v>
      </c>
      <c r="G86" s="1217" t="s">
        <v>375</v>
      </c>
      <c r="H86" s="1220" t="s">
        <v>357</v>
      </c>
      <c r="I86" s="699"/>
      <c r="J86" s="307"/>
      <c r="K86" s="813"/>
    </row>
    <row r="87" spans="1:11" s="14" customFormat="1" ht="17" customHeight="1">
      <c r="A87" s="815" t="s">
        <v>380</v>
      </c>
      <c r="B87" s="203"/>
      <c r="C87" s="859"/>
      <c r="D87" s="860">
        <f t="shared" ref="D87:D92" si="21">B87-C87</f>
        <v>0</v>
      </c>
      <c r="E87" s="859"/>
      <c r="F87" s="859"/>
      <c r="G87" s="55">
        <f t="shared" ref="G87:G92" si="22">D87*E87*F87</f>
        <v>0</v>
      </c>
      <c r="H87" s="56">
        <f t="shared" ref="H87:H92" si="23">C87*E87*F87</f>
        <v>0</v>
      </c>
      <c r="I87" s="669"/>
      <c r="J87" s="307"/>
      <c r="K87" s="813"/>
    </row>
    <row r="88" spans="1:11" s="14" customFormat="1" ht="17" customHeight="1">
      <c r="A88" s="815" t="s">
        <v>381</v>
      </c>
      <c r="B88" s="203"/>
      <c r="C88" s="749"/>
      <c r="D88" s="750">
        <f t="shared" si="21"/>
        <v>0</v>
      </c>
      <c r="E88" s="749"/>
      <c r="F88" s="749"/>
      <c r="G88" s="55">
        <f t="shared" si="22"/>
        <v>0</v>
      </c>
      <c r="H88" s="56">
        <f t="shared" si="23"/>
        <v>0</v>
      </c>
      <c r="I88" s="669"/>
      <c r="J88" s="307"/>
      <c r="K88" s="813"/>
    </row>
    <row r="89" spans="1:11" s="14" customFormat="1" ht="17" customHeight="1">
      <c r="A89" s="815" t="s">
        <v>382</v>
      </c>
      <c r="B89" s="203"/>
      <c r="C89" s="749"/>
      <c r="D89" s="750">
        <f t="shared" si="21"/>
        <v>0</v>
      </c>
      <c r="E89" s="749"/>
      <c r="F89" s="749"/>
      <c r="G89" s="55">
        <f t="shared" si="22"/>
        <v>0</v>
      </c>
      <c r="H89" s="56">
        <f t="shared" si="23"/>
        <v>0</v>
      </c>
      <c r="I89" s="669"/>
      <c r="J89" s="307"/>
      <c r="K89" s="813"/>
    </row>
    <row r="90" spans="1:11" s="14" customFormat="1" ht="17" customHeight="1">
      <c r="A90" s="815" t="s">
        <v>383</v>
      </c>
      <c r="B90" s="203"/>
      <c r="C90" s="749"/>
      <c r="D90" s="750">
        <f t="shared" si="21"/>
        <v>0</v>
      </c>
      <c r="E90" s="749"/>
      <c r="F90" s="749"/>
      <c r="G90" s="55">
        <f t="shared" si="22"/>
        <v>0</v>
      </c>
      <c r="H90" s="56">
        <f t="shared" si="23"/>
        <v>0</v>
      </c>
      <c r="I90" s="669"/>
      <c r="J90" s="307"/>
      <c r="K90" s="813"/>
    </row>
    <row r="91" spans="1:11" s="14" customFormat="1" ht="17" customHeight="1">
      <c r="A91" s="815" t="s">
        <v>384</v>
      </c>
      <c r="B91" s="203"/>
      <c r="C91" s="749"/>
      <c r="D91" s="750">
        <f t="shared" si="21"/>
        <v>0</v>
      </c>
      <c r="E91" s="749"/>
      <c r="F91" s="749"/>
      <c r="G91" s="55">
        <f t="shared" si="22"/>
        <v>0</v>
      </c>
      <c r="H91" s="56">
        <f t="shared" si="23"/>
        <v>0</v>
      </c>
      <c r="I91" s="669"/>
      <c r="J91" s="307"/>
      <c r="K91" s="813"/>
    </row>
    <row r="92" spans="1:11" s="14" customFormat="1" ht="17" customHeight="1" thickBot="1">
      <c r="A92" s="815" t="s">
        <v>385</v>
      </c>
      <c r="B92" s="744"/>
      <c r="C92" s="751"/>
      <c r="D92" s="752">
        <f t="shared" si="21"/>
        <v>0</v>
      </c>
      <c r="E92" s="751"/>
      <c r="F92" s="751"/>
      <c r="G92" s="746">
        <f t="shared" si="22"/>
        <v>0</v>
      </c>
      <c r="H92" s="747">
        <f t="shared" si="23"/>
        <v>0</v>
      </c>
      <c r="I92" s="748"/>
      <c r="J92" s="314"/>
      <c r="K92" s="813"/>
    </row>
    <row r="93" spans="1:11" s="14" customFormat="1" ht="17" customHeight="1" thickBot="1">
      <c r="A93" s="858" t="s">
        <v>368</v>
      </c>
      <c r="B93" s="1201"/>
      <c r="C93" s="1202"/>
      <c r="D93" s="1202"/>
      <c r="E93" s="1228">
        <f>SUM(E87:E92)</f>
        <v>0</v>
      </c>
      <c r="F93" s="1204"/>
      <c r="G93" s="1240">
        <f>SUM(G87:G92)</f>
        <v>0</v>
      </c>
      <c r="H93" s="1231">
        <f>SUM(H87:H92)</f>
        <v>0</v>
      </c>
      <c r="I93" s="1241">
        <f>G93+G82</f>
        <v>0</v>
      </c>
      <c r="J93" s="307"/>
      <c r="K93" s="306" t="str">
        <f>IF(E93&lt;&gt;SUM(Forside!F39),"SFO-børn ikke lig med antal SFO-børn tastet på forsiden","")</f>
        <v/>
      </c>
    </row>
    <row r="94" spans="1:11" s="14" customFormat="1" ht="20" customHeight="1" thickBot="1">
      <c r="A94" s="1233"/>
      <c r="B94" s="2964" t="s">
        <v>386</v>
      </c>
      <c r="C94" s="2964"/>
      <c r="D94" s="2964"/>
      <c r="E94" s="2964"/>
      <c r="F94" s="2965"/>
      <c r="G94" s="864">
        <f>G82+G93</f>
        <v>0</v>
      </c>
      <c r="H94" s="865">
        <f>H82+H93</f>
        <v>0</v>
      </c>
      <c r="I94" s="1212">
        <f>I93</f>
        <v>0</v>
      </c>
      <c r="J94" s="1198"/>
      <c r="K94" s="306"/>
    </row>
    <row r="95" spans="1:11" s="14" customFormat="1" ht="12.75" customHeight="1" thickBot="1">
      <c r="A95" s="1235"/>
      <c r="B95"/>
      <c r="C95" s="5"/>
      <c r="D95" s="313"/>
      <c r="E95" s="313"/>
      <c r="F95" s="313"/>
      <c r="G95" s="313"/>
      <c r="H95" s="313"/>
      <c r="I95" s="5"/>
      <c r="J95" s="5"/>
      <c r="K95" s="813"/>
    </row>
    <row r="96" spans="1:11" ht="24" customHeight="1" thickBot="1">
      <c r="A96" s="2947" t="s">
        <v>387</v>
      </c>
      <c r="B96" s="2948"/>
      <c r="C96" s="2948"/>
      <c r="D96" s="2948"/>
      <c r="E96" s="2948"/>
      <c r="F96" s="2948"/>
      <c r="G96" s="2948"/>
      <c r="H96" s="2948"/>
      <c r="I96" s="2948"/>
      <c r="J96" s="2949"/>
    </row>
    <row r="97" spans="1:12" ht="12" customHeight="1" thickBot="1">
      <c r="A97" s="2920" t="str">
        <f>"Hvis brug for flere rækker - kan disse indsættes imellem række "&amp;L103&amp;-L110&amp;""</f>
        <v>Hvis brug for flere rækker - kan disse indsættes imellem række 103-110</v>
      </c>
      <c r="B97" s="2921"/>
      <c r="C97" s="2921"/>
      <c r="D97" s="2921"/>
      <c r="E97" s="2921"/>
      <c r="F97" s="2921"/>
      <c r="G97" s="2921"/>
      <c r="H97" s="2921"/>
      <c r="I97" s="2921"/>
      <c r="J97" s="2922"/>
    </row>
    <row r="98" spans="1:12" ht="18" customHeight="1">
      <c r="A98" s="1242" t="s">
        <v>388</v>
      </c>
      <c r="B98" s="1243" t="s">
        <v>389</v>
      </c>
      <c r="C98" s="866"/>
      <c r="D98" s="2918"/>
      <c r="E98" s="2918"/>
      <c r="F98" s="2919"/>
      <c r="G98" s="1244" t="s">
        <v>390</v>
      </c>
      <c r="H98" s="1244">
        <f>budgetår</f>
        <v>2026</v>
      </c>
      <c r="I98" s="1245">
        <f>budgetår+1</f>
        <v>2027</v>
      </c>
      <c r="J98" s="2950"/>
    </row>
    <row r="99" spans="1:12" ht="18" customHeight="1">
      <c r="A99" s="1246">
        <v>1</v>
      </c>
      <c r="B99" s="2915" t="s">
        <v>391</v>
      </c>
      <c r="C99" s="2916"/>
      <c r="D99" s="2916"/>
      <c r="E99" s="2916"/>
      <c r="F99" s="2917"/>
      <c r="G99" s="1247"/>
      <c r="H99" s="1248"/>
      <c r="I99" s="1248"/>
      <c r="J99" s="2951"/>
    </row>
    <row r="100" spans="1:12" ht="14" customHeight="1">
      <c r="A100" s="1246">
        <v>2</v>
      </c>
      <c r="B100" s="2912" t="s">
        <v>392</v>
      </c>
      <c r="C100" s="2913"/>
      <c r="D100" s="2913"/>
      <c r="E100" s="2913"/>
      <c r="F100" s="2914"/>
      <c r="G100" s="1249"/>
      <c r="H100" s="1250" t="str">
        <f>IF(Hovedskema!F8=0,"0",Daginstitution!S37+Daginstitution!S45)</f>
        <v>0</v>
      </c>
      <c r="I100" s="1251" t="str">
        <f>IF(Hovedskema!G8=0,"0",(H100/Hovedskema!F8*Hovedskema!G8)/Daginstitution!E3*Daginstitution!E4)</f>
        <v>0</v>
      </c>
      <c r="J100" s="2951"/>
    </row>
    <row r="101" spans="1:12" ht="14" customHeight="1">
      <c r="A101" s="1246">
        <v>3</v>
      </c>
      <c r="B101" s="2912" t="s">
        <v>393</v>
      </c>
      <c r="C101" s="2913"/>
      <c r="D101" s="2913"/>
      <c r="E101" s="2913"/>
      <c r="F101" s="2914"/>
      <c r="G101" s="1249"/>
      <c r="H101" s="1250" t="str">
        <f>IF(Hovedskema!F9=0,"0",Daginstitution!S90+Daginstitution!S98)</f>
        <v>0</v>
      </c>
      <c r="I101" s="1252" t="str">
        <f>IF(Hovedskema!G9=0,"0",(H101/Hovedskema!F9*Hovedskema!G9)/Daginstitution!E56*Daginstitution!E57)</f>
        <v>0</v>
      </c>
      <c r="J101" s="2951"/>
    </row>
    <row r="102" spans="1:12" ht="14" customHeight="1">
      <c r="A102" s="1246">
        <v>4</v>
      </c>
      <c r="B102" s="2912" t="s">
        <v>394</v>
      </c>
      <c r="C102" s="2913"/>
      <c r="D102" s="2913"/>
      <c r="E102" s="2913"/>
      <c r="F102" s="2914"/>
      <c r="G102" s="1253"/>
      <c r="H102" s="1254">
        <f>IF('Heltids SFO'!M12&gt;0,'Heltids SFO'!M12+'Heltids SFO'!M20,0)</f>
        <v>0</v>
      </c>
      <c r="I102" s="1255">
        <f>IF(Hovedskema!G20&gt;0,Hovedskema!G20,0)</f>
        <v>0</v>
      </c>
      <c r="J102" s="2951"/>
    </row>
    <row r="103" spans="1:12" ht="14" customHeight="1">
      <c r="A103" s="1246">
        <v>5</v>
      </c>
      <c r="B103" s="2941" t="s">
        <v>395</v>
      </c>
      <c r="C103" s="2916"/>
      <c r="D103" s="2916"/>
      <c r="E103" s="2916"/>
      <c r="F103" s="2917"/>
      <c r="G103" s="1256"/>
      <c r="H103" s="1257"/>
      <c r="I103" s="1248"/>
      <c r="J103" s="2951"/>
      <c r="L103" s="344">
        <f>ROW(K103)</f>
        <v>103</v>
      </c>
    </row>
    <row r="104" spans="1:12" ht="14" customHeight="1">
      <c r="A104" s="1246">
        <v>6</v>
      </c>
      <c r="B104" s="2941" t="s">
        <v>396</v>
      </c>
      <c r="C104" s="2916"/>
      <c r="D104" s="2916"/>
      <c r="E104" s="2916"/>
      <c r="F104" s="2917"/>
      <c r="G104" s="1256"/>
      <c r="H104" s="1257"/>
      <c r="I104" s="1248"/>
      <c r="J104" s="2951"/>
    </row>
    <row r="105" spans="1:12" ht="14" customHeight="1">
      <c r="A105" s="1246">
        <v>7</v>
      </c>
      <c r="B105" s="2941" t="s">
        <v>397</v>
      </c>
      <c r="C105" s="2916"/>
      <c r="D105" s="2916"/>
      <c r="E105" s="2916"/>
      <c r="F105" s="2917"/>
      <c r="G105" s="1256"/>
      <c r="H105" s="1257"/>
      <c r="I105" s="1248"/>
      <c r="J105" s="2951"/>
    </row>
    <row r="106" spans="1:12" ht="14" customHeight="1">
      <c r="A106" s="1246">
        <v>8</v>
      </c>
      <c r="B106" s="2915" t="s">
        <v>398</v>
      </c>
      <c r="C106" s="2942"/>
      <c r="D106" s="2942"/>
      <c r="E106" s="2942"/>
      <c r="F106" s="2943"/>
      <c r="G106" s="1256"/>
      <c r="H106" s="1257"/>
      <c r="I106" s="1248"/>
      <c r="J106" s="2951"/>
    </row>
    <row r="107" spans="1:12" ht="14" customHeight="1">
      <c r="A107" s="1246">
        <v>9</v>
      </c>
      <c r="B107" s="2915" t="s">
        <v>1456</v>
      </c>
      <c r="C107" s="2942"/>
      <c r="D107" s="2942"/>
      <c r="E107" s="2942"/>
      <c r="F107" s="2943"/>
      <c r="G107" s="1256"/>
      <c r="H107" s="1257"/>
      <c r="I107" s="1248"/>
      <c r="J107" s="2951"/>
    </row>
    <row r="108" spans="1:12" ht="14" customHeight="1">
      <c r="A108" s="1246">
        <v>10</v>
      </c>
      <c r="B108" s="2941" t="s">
        <v>399</v>
      </c>
      <c r="C108" s="2916"/>
      <c r="D108" s="2916"/>
      <c r="E108" s="2916"/>
      <c r="F108" s="2917"/>
      <c r="G108" s="1256"/>
      <c r="H108" s="1257"/>
      <c r="I108" s="1248"/>
      <c r="J108" s="2951"/>
    </row>
    <row r="109" spans="1:12" ht="14" customHeight="1">
      <c r="A109" s="1246">
        <v>11</v>
      </c>
      <c r="B109" s="2941"/>
      <c r="C109" s="2916"/>
      <c r="D109" s="2916"/>
      <c r="E109" s="2916"/>
      <c r="F109" s="2917"/>
      <c r="G109" s="1256"/>
      <c r="H109" s="1257"/>
      <c r="I109" s="1248"/>
      <c r="J109" s="2951"/>
    </row>
    <row r="110" spans="1:12" ht="14" customHeight="1" thickBot="1">
      <c r="A110" s="1246">
        <v>12</v>
      </c>
      <c r="B110" s="2941"/>
      <c r="C110" s="2916"/>
      <c r="D110" s="2916"/>
      <c r="E110" s="2916"/>
      <c r="F110" s="2917"/>
      <c r="G110" s="1256"/>
      <c r="H110" s="1257"/>
      <c r="I110" s="1248"/>
      <c r="J110" s="2951"/>
      <c r="L110" s="344">
        <f>ROW(K110)</f>
        <v>110</v>
      </c>
    </row>
    <row r="111" spans="1:12" ht="18" customHeight="1" thickBot="1">
      <c r="A111" s="1258" t="s">
        <v>368</v>
      </c>
      <c r="B111" s="1259" t="s">
        <v>400</v>
      </c>
      <c r="C111" s="1260"/>
      <c r="D111" s="1260"/>
      <c r="E111" s="1260"/>
      <c r="F111" s="1261"/>
      <c r="G111" s="1261"/>
      <c r="H111" s="1261">
        <f>SUM(H100:H110)</f>
        <v>0</v>
      </c>
      <c r="I111" s="1261">
        <f>SUM(I100:I110)</f>
        <v>0</v>
      </c>
      <c r="J111" s="2952"/>
      <c r="K111" s="339"/>
      <c r="L111" s="344"/>
    </row>
    <row r="112" spans="1:12" ht="18" customHeight="1" thickBot="1">
      <c r="A112" s="2947" t="s">
        <v>401</v>
      </c>
      <c r="B112" s="2948"/>
      <c r="C112" s="2948"/>
      <c r="D112" s="2948"/>
      <c r="E112" s="2948"/>
      <c r="F112" s="2948"/>
      <c r="G112" s="2948"/>
      <c r="H112" s="2948"/>
      <c r="I112" s="2948"/>
      <c r="J112" s="2949"/>
      <c r="L112" s="344"/>
    </row>
    <row r="113" spans="1:12" ht="12" customHeight="1" thickBot="1">
      <c r="A113" s="2920" t="str">
        <f>"Hvis brug for flere rækker - kan disse indsættes imellem række "&amp;L121&amp;-L150&amp;""</f>
        <v>Hvis brug for flere rækker - kan disse indsættes imellem række 121-150</v>
      </c>
      <c r="B113" s="2921"/>
      <c r="C113" s="2921"/>
      <c r="D113" s="2921"/>
      <c r="E113" s="2921"/>
      <c r="F113" s="2921"/>
      <c r="G113" s="2921"/>
      <c r="H113" s="2921"/>
      <c r="I113" s="2921"/>
      <c r="J113" s="2922"/>
      <c r="L113" s="344"/>
    </row>
    <row r="114" spans="1:12" ht="18" customHeight="1">
      <c r="A114" s="1242" t="s">
        <v>388</v>
      </c>
      <c r="B114" s="1243" t="s">
        <v>389</v>
      </c>
      <c r="C114" s="866"/>
      <c r="D114" s="2918"/>
      <c r="E114" s="2918"/>
      <c r="F114" s="2919"/>
      <c r="G114" s="1244" t="s">
        <v>390</v>
      </c>
      <c r="H114" s="1262">
        <f>budgetår</f>
        <v>2026</v>
      </c>
      <c r="I114" s="1263">
        <f>budgetår+1</f>
        <v>2027</v>
      </c>
      <c r="J114" s="342"/>
      <c r="L114" s="344"/>
    </row>
    <row r="115" spans="1:12">
      <c r="A115" s="1264">
        <v>1</v>
      </c>
      <c r="B115" s="2944" t="s">
        <v>402</v>
      </c>
      <c r="C115" s="2945"/>
      <c r="D115" s="2945"/>
      <c r="E115" s="2945"/>
      <c r="F115" s="2946"/>
      <c r="G115" s="1267"/>
      <c r="H115" s="1268" t="str">
        <f>IF(Hovedskema!F8=0,"0",(Daginstitution!T37))</f>
        <v>0</v>
      </c>
      <c r="I115" s="1268" t="str">
        <f>IF(Hovedskema!G8=0,"0",(Daginstitution!T37/Daginstitution!T3*Daginstitution!T4)/Hovedskema!F8*Hovedskema!G8)</f>
        <v>0</v>
      </c>
      <c r="J115" s="307"/>
      <c r="L115" s="344"/>
    </row>
    <row r="116" spans="1:12">
      <c r="A116" s="1264">
        <f>A115+1</f>
        <v>2</v>
      </c>
      <c r="B116" s="2926" t="s">
        <v>403</v>
      </c>
      <c r="C116" s="2927"/>
      <c r="D116" s="2927"/>
      <c r="E116" s="2927"/>
      <c r="F116" s="2928"/>
      <c r="G116" s="1267"/>
      <c r="H116" s="1268" t="str">
        <f>IF(Hovedskema!F9=0,"0",(Daginstitution!T90))</f>
        <v>0</v>
      </c>
      <c r="I116" s="1268" t="str">
        <f>IF(Hovedskema!G9=0,"0",(Daginstitution!T90/Daginstitution!T56*Daginstitution!T57/Hovedskema!F9*Hovedskema!G9))</f>
        <v>0</v>
      </c>
      <c r="J116" s="307"/>
      <c r="L116" s="344"/>
    </row>
    <row r="117" spans="1:12">
      <c r="A117" s="1264">
        <v>3</v>
      </c>
      <c r="B117" s="1269" t="s">
        <v>404</v>
      </c>
      <c r="C117" s="1265"/>
      <c r="D117" s="1265"/>
      <c r="E117" s="1265"/>
      <c r="F117" s="1266"/>
      <c r="G117" s="1267"/>
      <c r="H117" s="1270">
        <f>'Heltids SFO'!N12</f>
        <v>0</v>
      </c>
      <c r="I117" s="1271">
        <f>IF(Hovedskema!G27&gt;0,Hovedskema!G27,0)</f>
        <v>0</v>
      </c>
      <c r="J117" s="307"/>
      <c r="L117" s="344"/>
    </row>
    <row r="118" spans="1:12">
      <c r="A118" s="1264">
        <v>4</v>
      </c>
      <c r="B118" s="2926" t="s">
        <v>405</v>
      </c>
      <c r="C118" s="2927"/>
      <c r="D118" s="2927"/>
      <c r="E118" s="2927"/>
      <c r="F118" s="2928"/>
      <c r="G118" s="1267"/>
      <c r="H118" s="1270">
        <f>Daginstitution!S53</f>
        <v>0</v>
      </c>
      <c r="I118" s="1268" t="str">
        <f>IF(Hovedskema!G8=0,"0",(H118/Hovedskema!F8*Hovedskema!G8))</f>
        <v>0</v>
      </c>
      <c r="J118" s="307"/>
      <c r="L118" s="344"/>
    </row>
    <row r="119" spans="1:12">
      <c r="A119" s="1264">
        <v>5</v>
      </c>
      <c r="B119" s="2926" t="s">
        <v>406</v>
      </c>
      <c r="C119" s="2927"/>
      <c r="D119" s="2927"/>
      <c r="E119" s="2927"/>
      <c r="F119" s="2928"/>
      <c r="G119" s="1267"/>
      <c r="H119" s="1270">
        <f>Daginstitution!S106</f>
        <v>0</v>
      </c>
      <c r="I119" s="1268" t="str">
        <f>IF(Hovedskema!G9=0,"0",(H119/Hovedskema!F9*Hovedskema!G9))</f>
        <v>0</v>
      </c>
      <c r="J119" s="307"/>
      <c r="L119" s="344"/>
    </row>
    <row r="120" spans="1:12">
      <c r="A120" s="1264">
        <v>6</v>
      </c>
      <c r="B120" s="2926" t="s">
        <v>407</v>
      </c>
      <c r="C120" s="2927"/>
      <c r="D120" s="2927"/>
      <c r="E120" s="2927"/>
      <c r="F120" s="2928"/>
      <c r="G120" s="1267"/>
      <c r="H120" s="1270">
        <f>'Heltids SFO'!M28</f>
        <v>0</v>
      </c>
      <c r="I120" s="1271">
        <f>IF('Heltids SFO'!M28&gt;0,'Heltids SFO'!M28/Hovedskema!F7*Hovedskema!G7,0)</f>
        <v>0</v>
      </c>
      <c r="J120" s="307"/>
      <c r="L120" s="344"/>
    </row>
    <row r="121" spans="1:12">
      <c r="A121" s="1264">
        <v>7</v>
      </c>
      <c r="B121" s="2929" t="s">
        <v>408</v>
      </c>
      <c r="C121" s="2930"/>
      <c r="D121" s="2930"/>
      <c r="E121" s="2930"/>
      <c r="F121" s="2931"/>
      <c r="G121" s="1272"/>
      <c r="H121" s="1273"/>
      <c r="I121" s="1273"/>
      <c r="J121" s="307"/>
      <c r="L121" s="344">
        <f>ROW(K121)</f>
        <v>121</v>
      </c>
    </row>
    <row r="122" spans="1:12">
      <c r="A122" s="1264">
        <v>8</v>
      </c>
      <c r="B122" s="2929" t="s">
        <v>409</v>
      </c>
      <c r="C122" s="2930"/>
      <c r="D122" s="2930"/>
      <c r="E122" s="2930"/>
      <c r="F122" s="2931"/>
      <c r="G122" s="1272"/>
      <c r="H122" s="1273"/>
      <c r="I122" s="1273"/>
      <c r="J122" s="307"/>
    </row>
    <row r="123" spans="1:12">
      <c r="A123" s="1264">
        <v>9</v>
      </c>
      <c r="B123" s="2935" t="s">
        <v>410</v>
      </c>
      <c r="C123" s="2936"/>
      <c r="D123" s="2936"/>
      <c r="E123" s="2936"/>
      <c r="F123" s="2937"/>
      <c r="G123" s="1267"/>
      <c r="H123" s="1275"/>
      <c r="I123" s="1273"/>
      <c r="J123" s="307"/>
    </row>
    <row r="124" spans="1:12">
      <c r="A124" s="1264">
        <f>A123+1</f>
        <v>10</v>
      </c>
      <c r="B124" s="2938" t="s">
        <v>411</v>
      </c>
      <c r="C124" s="2939"/>
      <c r="D124" s="2939"/>
      <c r="E124" s="2939"/>
      <c r="F124" s="2940"/>
      <c r="G124" s="1267"/>
      <c r="H124" s="1275"/>
      <c r="I124" s="1273"/>
      <c r="J124" s="307"/>
    </row>
    <row r="125" spans="1:12">
      <c r="A125" s="1264">
        <v>11</v>
      </c>
      <c r="B125" s="2932" t="s">
        <v>412</v>
      </c>
      <c r="C125" s="2933"/>
      <c r="D125" s="2933"/>
      <c r="E125" s="2933"/>
      <c r="F125" s="2934"/>
      <c r="G125" s="1267"/>
      <c r="H125" s="1275"/>
      <c r="I125" s="1273"/>
      <c r="J125" s="307"/>
    </row>
    <row r="126" spans="1:12">
      <c r="A126" s="1264">
        <v>12</v>
      </c>
      <c r="B126" s="2935" t="s">
        <v>413</v>
      </c>
      <c r="C126" s="2933"/>
      <c r="D126" s="2933"/>
      <c r="E126" s="2933"/>
      <c r="F126" s="2934"/>
      <c r="G126" s="1267"/>
      <c r="H126" s="1275"/>
      <c r="I126" s="1273"/>
      <c r="J126" s="307"/>
    </row>
    <row r="127" spans="1:12">
      <c r="A127" s="1264">
        <v>13</v>
      </c>
      <c r="B127" s="2935" t="s">
        <v>414</v>
      </c>
      <c r="C127" s="2933"/>
      <c r="D127" s="2933"/>
      <c r="E127" s="2933"/>
      <c r="F127" s="2934"/>
      <c r="G127" s="1267"/>
      <c r="H127" s="1275"/>
      <c r="I127" s="1273"/>
      <c r="J127" s="307"/>
    </row>
    <row r="128" spans="1:12">
      <c r="A128" s="1264">
        <v>14</v>
      </c>
      <c r="B128" s="2932" t="s">
        <v>415</v>
      </c>
      <c r="C128" s="2933"/>
      <c r="D128" s="2933"/>
      <c r="E128" s="2933"/>
      <c r="F128" s="2934"/>
      <c r="G128" s="1267"/>
      <c r="H128" s="1257"/>
      <c r="I128" s="1248"/>
      <c r="J128" s="307"/>
    </row>
    <row r="129" spans="1:11">
      <c r="A129" s="1264">
        <v>15</v>
      </c>
      <c r="B129" s="2935" t="s">
        <v>416</v>
      </c>
      <c r="C129" s="2936"/>
      <c r="D129" s="2936"/>
      <c r="E129" s="2936"/>
      <c r="F129" s="2937"/>
      <c r="G129" s="1267"/>
      <c r="H129" s="1275"/>
      <c r="I129" s="1273"/>
      <c r="J129" s="307"/>
    </row>
    <row r="130" spans="1:11">
      <c r="A130" s="1264">
        <v>16</v>
      </c>
      <c r="B130" s="2935" t="s">
        <v>417</v>
      </c>
      <c r="C130" s="2936"/>
      <c r="D130" s="2936"/>
      <c r="E130" s="2936"/>
      <c r="F130" s="2937"/>
      <c r="G130" s="1267"/>
      <c r="H130" s="1275"/>
      <c r="I130" s="1273"/>
      <c r="J130" s="307"/>
    </row>
    <row r="131" spans="1:11">
      <c r="A131" s="1264">
        <v>17</v>
      </c>
      <c r="B131" s="2938" t="s">
        <v>418</v>
      </c>
      <c r="C131" s="2939"/>
      <c r="D131" s="2939"/>
      <c r="E131" s="2939"/>
      <c r="F131" s="2940"/>
      <c r="G131" s="1267"/>
      <c r="H131" s="1275"/>
      <c r="I131" s="1273"/>
      <c r="J131" s="307"/>
    </row>
    <row r="132" spans="1:11">
      <c r="A132" s="1264">
        <v>18</v>
      </c>
      <c r="B132" s="2935" t="s">
        <v>419</v>
      </c>
      <c r="C132" s="2933"/>
      <c r="D132" s="2933"/>
      <c r="E132" s="2933"/>
      <c r="F132" s="2934"/>
      <c r="G132" s="1267"/>
      <c r="H132" s="1275"/>
      <c r="I132" s="1273"/>
      <c r="J132" s="307"/>
    </row>
    <row r="133" spans="1:11">
      <c r="A133" s="1264">
        <v>19</v>
      </c>
      <c r="B133" s="2935" t="s">
        <v>420</v>
      </c>
      <c r="C133" s="2933"/>
      <c r="D133" s="2933"/>
      <c r="E133" s="2933"/>
      <c r="F133" s="2934"/>
      <c r="G133" s="1267"/>
      <c r="H133" s="1275"/>
      <c r="I133" s="1273"/>
      <c r="J133" s="307"/>
    </row>
    <row r="134" spans="1:11">
      <c r="A134" s="1264">
        <v>20</v>
      </c>
      <c r="B134" s="2923" t="s">
        <v>421</v>
      </c>
      <c r="C134" s="2924"/>
      <c r="D134" s="2924"/>
      <c r="E134" s="2924"/>
      <c r="F134" s="2925"/>
      <c r="G134" s="1267"/>
      <c r="H134" s="1275"/>
      <c r="I134" s="1273"/>
      <c r="J134" s="307"/>
    </row>
    <row r="135" spans="1:11">
      <c r="A135" s="1264">
        <v>21</v>
      </c>
      <c r="B135" s="2932" t="s">
        <v>422</v>
      </c>
      <c r="C135" s="2936"/>
      <c r="D135" s="2936"/>
      <c r="E135" s="2936"/>
      <c r="F135" s="2937"/>
      <c r="G135" s="1267"/>
      <c r="H135" s="1275"/>
      <c r="I135" s="1273"/>
      <c r="J135" s="307"/>
    </row>
    <row r="136" spans="1:11">
      <c r="A136" s="1264">
        <v>22</v>
      </c>
      <c r="B136" s="2935" t="s">
        <v>410</v>
      </c>
      <c r="C136" s="2936"/>
      <c r="D136" s="2936"/>
      <c r="E136" s="2936"/>
      <c r="F136" s="2937"/>
      <c r="G136" s="1267"/>
      <c r="H136" s="1275"/>
      <c r="I136" s="1273"/>
      <c r="J136" s="330"/>
    </row>
    <row r="137" spans="1:11">
      <c r="A137" s="1264">
        <v>23</v>
      </c>
      <c r="B137" s="1276" t="s">
        <v>423</v>
      </c>
      <c r="C137" s="1277"/>
      <c r="D137" s="1277"/>
      <c r="E137" s="1277"/>
      <c r="F137" s="1278"/>
      <c r="G137" s="1267"/>
      <c r="H137" s="1275"/>
      <c r="I137" s="1273"/>
      <c r="J137" s="330"/>
    </row>
    <row r="138" spans="1:11">
      <c r="A138" s="1264">
        <v>24</v>
      </c>
      <c r="B138" s="1274" t="s">
        <v>424</v>
      </c>
      <c r="C138" s="1280"/>
      <c r="D138" s="1280"/>
      <c r="E138" s="1280"/>
      <c r="F138" s="1281"/>
      <c r="G138" s="1267"/>
      <c r="H138" s="1275"/>
      <c r="I138" s="1273"/>
      <c r="J138" s="330"/>
    </row>
    <row r="139" spans="1:11">
      <c r="A139" s="1264">
        <v>25</v>
      </c>
      <c r="B139" s="1274" t="s">
        <v>425</v>
      </c>
      <c r="C139" s="1280"/>
      <c r="D139" s="1280"/>
      <c r="E139" s="1280"/>
      <c r="F139" s="1281"/>
      <c r="G139" s="1267"/>
      <c r="H139" s="1275"/>
      <c r="I139" s="1273"/>
      <c r="J139" s="330"/>
    </row>
    <row r="140" spans="1:11">
      <c r="A140" s="1264">
        <v>26</v>
      </c>
      <c r="B140" s="1279" t="s">
        <v>426</v>
      </c>
      <c r="C140" s="1280"/>
      <c r="D140" s="1280"/>
      <c r="E140" s="1280"/>
      <c r="F140" s="1281"/>
      <c r="G140" s="1267"/>
      <c r="H140" s="1275"/>
      <c r="I140" s="1273"/>
      <c r="J140" s="330"/>
    </row>
    <row r="141" spans="1:11">
      <c r="A141" s="1264">
        <v>27</v>
      </c>
      <c r="B141" s="2932" t="s">
        <v>427</v>
      </c>
      <c r="C141" s="2933"/>
      <c r="D141" s="2933"/>
      <c r="E141" s="2933"/>
      <c r="F141" s="2934"/>
      <c r="G141" s="1267"/>
      <c r="H141" s="1275"/>
      <c r="I141" s="1273"/>
      <c r="J141" s="330"/>
    </row>
    <row r="142" spans="1:11">
      <c r="A142" s="1264">
        <v>28</v>
      </c>
      <c r="B142" s="2935"/>
      <c r="C142" s="2933"/>
      <c r="D142" s="2933"/>
      <c r="E142" s="2933"/>
      <c r="F142" s="2934"/>
      <c r="G142" s="1267"/>
      <c r="H142" s="1275"/>
      <c r="I142" s="1273"/>
      <c r="J142" s="330"/>
      <c r="K142" s="23"/>
    </row>
    <row r="143" spans="1:11">
      <c r="A143" s="1264">
        <v>29</v>
      </c>
      <c r="B143" s="2935"/>
      <c r="C143" s="2953"/>
      <c r="D143" s="2953"/>
      <c r="E143" s="2953"/>
      <c r="F143" s="2954"/>
      <c r="G143" s="1267"/>
      <c r="H143" s="1275"/>
      <c r="I143" s="1275"/>
      <c r="J143" s="330"/>
      <c r="K143" s="23"/>
    </row>
    <row r="144" spans="1:11">
      <c r="A144" s="1264">
        <f>A143+1</f>
        <v>30</v>
      </c>
      <c r="B144" s="2935"/>
      <c r="C144" s="2953"/>
      <c r="D144" s="2953"/>
      <c r="E144" s="2953"/>
      <c r="F144" s="2954"/>
      <c r="G144" s="1267"/>
      <c r="H144" s="1275"/>
      <c r="I144" s="1275"/>
      <c r="J144" s="330"/>
    </row>
    <row r="145" spans="1:12">
      <c r="A145" s="1264">
        <v>31</v>
      </c>
      <c r="B145" s="2935"/>
      <c r="C145" s="2953"/>
      <c r="D145" s="2953"/>
      <c r="E145" s="2953"/>
      <c r="F145" s="2954"/>
      <c r="G145" s="1267"/>
      <c r="H145" s="1275"/>
      <c r="I145" s="1275"/>
      <c r="J145" s="330"/>
    </row>
    <row r="146" spans="1:12">
      <c r="A146" s="1264">
        <v>32</v>
      </c>
      <c r="B146" s="2935"/>
      <c r="C146" s="2953"/>
      <c r="D146" s="2953"/>
      <c r="E146" s="2953"/>
      <c r="F146" s="2954"/>
      <c r="G146" s="1267"/>
      <c r="H146" s="1275"/>
      <c r="I146" s="1275"/>
      <c r="J146" s="330"/>
    </row>
    <row r="147" spans="1:12">
      <c r="A147" s="1264">
        <v>33</v>
      </c>
      <c r="B147" s="2935"/>
      <c r="C147" s="2953"/>
      <c r="D147" s="2953"/>
      <c r="E147" s="2953"/>
      <c r="F147" s="2954"/>
      <c r="G147" s="1267"/>
      <c r="H147" s="1275"/>
      <c r="I147" s="1275"/>
      <c r="J147" s="330"/>
    </row>
    <row r="148" spans="1:12">
      <c r="A148" s="1264">
        <v>34</v>
      </c>
      <c r="B148" s="2935"/>
      <c r="C148" s="2953"/>
      <c r="D148" s="2953"/>
      <c r="E148" s="2953"/>
      <c r="F148" s="2954"/>
      <c r="G148" s="1267"/>
      <c r="H148" s="1275"/>
      <c r="I148" s="1275"/>
      <c r="J148" s="330"/>
    </row>
    <row r="149" spans="1:12">
      <c r="A149" s="1264">
        <v>35</v>
      </c>
      <c r="B149" s="2935"/>
      <c r="C149" s="2953"/>
      <c r="D149" s="2953"/>
      <c r="E149" s="2953"/>
      <c r="F149" s="2954"/>
      <c r="G149" s="1267"/>
      <c r="H149" s="1275"/>
      <c r="I149" s="1275"/>
      <c r="J149" s="330"/>
    </row>
    <row r="150" spans="1:12" ht="14" thickBot="1">
      <c r="A150" s="1264">
        <v>36</v>
      </c>
      <c r="B150" s="2955"/>
      <c r="C150" s="2956"/>
      <c r="D150" s="2956"/>
      <c r="E150" s="2956"/>
      <c r="F150" s="2957"/>
      <c r="G150" s="1282"/>
      <c r="H150" s="1283"/>
      <c r="I150" s="1283"/>
      <c r="J150" s="307"/>
      <c r="L150" s="344">
        <f>ROW(K150)</f>
        <v>150</v>
      </c>
    </row>
    <row r="151" spans="1:12" ht="17" thickBot="1">
      <c r="A151" s="1258" t="s">
        <v>368</v>
      </c>
      <c r="B151" s="1259" t="s">
        <v>428</v>
      </c>
      <c r="C151" s="1260"/>
      <c r="D151" s="1260"/>
      <c r="E151" s="1260"/>
      <c r="F151" s="1261"/>
      <c r="G151" s="1261"/>
      <c r="H151" s="1261">
        <f>SUM(H115:H150)</f>
        <v>0</v>
      </c>
      <c r="I151" s="1261">
        <f>SUM(I115:I150)</f>
        <v>0</v>
      </c>
      <c r="J151" s="1284"/>
      <c r="K151" s="339"/>
    </row>
    <row r="152" spans="1:12">
      <c r="A152"/>
      <c r="B152"/>
      <c r="C152"/>
      <c r="D152"/>
      <c r="E152"/>
      <c r="F152"/>
      <c r="G152"/>
      <c r="H152"/>
    </row>
    <row r="153" spans="1:12">
      <c r="B153"/>
      <c r="C153"/>
    </row>
    <row r="154" spans="1:12">
      <c r="B154" s="2845"/>
      <c r="C154" s="2845"/>
      <c r="D154" s="25"/>
    </row>
    <row r="155" spans="1:12">
      <c r="B155" s="26"/>
      <c r="C155" s="26"/>
      <c r="D155" s="25"/>
    </row>
  </sheetData>
  <sheetProtection sheet="1" formatCells="0" formatColumns="0" formatRows="0"/>
  <mergeCells count="78">
    <mergeCell ref="A2:J2"/>
    <mergeCell ref="A17:J17"/>
    <mergeCell ref="A37:J37"/>
    <mergeCell ref="A96:J96"/>
    <mergeCell ref="A52:J52"/>
    <mergeCell ref="B35:F35"/>
    <mergeCell ref="B70:F70"/>
    <mergeCell ref="A72:J72"/>
    <mergeCell ref="A3:B3"/>
    <mergeCell ref="A38:B38"/>
    <mergeCell ref="A73:B73"/>
    <mergeCell ref="B94:F94"/>
    <mergeCell ref="A83:J83"/>
    <mergeCell ref="I3:J3"/>
    <mergeCell ref="D3:H3"/>
    <mergeCell ref="A18:B18"/>
    <mergeCell ref="B149:F149"/>
    <mergeCell ref="B150:F150"/>
    <mergeCell ref="B154:C154"/>
    <mergeCell ref="B141:F141"/>
    <mergeCell ref="B147:F147"/>
    <mergeCell ref="B144:F144"/>
    <mergeCell ref="B145:F145"/>
    <mergeCell ref="B146:F146"/>
    <mergeCell ref="B142:F142"/>
    <mergeCell ref="B143:F143"/>
    <mergeCell ref="B148:F148"/>
    <mergeCell ref="B135:F135"/>
    <mergeCell ref="B136:F136"/>
    <mergeCell ref="D98:F98"/>
    <mergeCell ref="B121:F121"/>
    <mergeCell ref="B123:F123"/>
    <mergeCell ref="B124:F124"/>
    <mergeCell ref="B125:F125"/>
    <mergeCell ref="B126:F126"/>
    <mergeCell ref="B127:F127"/>
    <mergeCell ref="B115:F115"/>
    <mergeCell ref="B120:F120"/>
    <mergeCell ref="B109:F109"/>
    <mergeCell ref="B110:F110"/>
    <mergeCell ref="A112:J112"/>
    <mergeCell ref="J98:J111"/>
    <mergeCell ref="B101:F101"/>
    <mergeCell ref="B133:F133"/>
    <mergeCell ref="B103:F103"/>
    <mergeCell ref="B104:F104"/>
    <mergeCell ref="B105:F105"/>
    <mergeCell ref="B108:F108"/>
    <mergeCell ref="B106:F106"/>
    <mergeCell ref="B107:F107"/>
    <mergeCell ref="B102:F102"/>
    <mergeCell ref="B99:F99"/>
    <mergeCell ref="D114:F114"/>
    <mergeCell ref="A97:J97"/>
    <mergeCell ref="B134:F134"/>
    <mergeCell ref="B118:F118"/>
    <mergeCell ref="B119:F119"/>
    <mergeCell ref="B116:F116"/>
    <mergeCell ref="B122:F122"/>
    <mergeCell ref="B128:F128"/>
    <mergeCell ref="B129:F129"/>
    <mergeCell ref="B130:F130"/>
    <mergeCell ref="B131:F131"/>
    <mergeCell ref="B132:F132"/>
    <mergeCell ref="A113:J113"/>
    <mergeCell ref="B100:F100"/>
    <mergeCell ref="D18:H18"/>
    <mergeCell ref="I18:J18"/>
    <mergeCell ref="D38:H38"/>
    <mergeCell ref="I38:J38"/>
    <mergeCell ref="A53:B53"/>
    <mergeCell ref="D53:H53"/>
    <mergeCell ref="I53:J53"/>
    <mergeCell ref="D73:H73"/>
    <mergeCell ref="I73:J73"/>
    <mergeCell ref="A84:B84"/>
    <mergeCell ref="D84:H84"/>
    <mergeCell ref="I84:J84"/>
  </mergeCells>
  <phoneticPr fontId="55" type="noConversion"/>
  <dataValidations count="6">
    <dataValidation type="whole" allowBlank="1" showInputMessage="1" showErrorMessage="1" sqref="I34 I69" xr:uid="{00000000-0002-0000-0600-000000000000}">
      <formula1>-1000000</formula1>
      <formula2>0</formula2>
    </dataValidation>
    <dataValidation type="decimal" allowBlank="1" showInputMessage="1" showErrorMessage="1" sqref="F6:F15" xr:uid="{00000000-0002-0000-0600-000001000000}">
      <formula1>1</formula1>
      <formula2>7</formula2>
    </dataValidation>
    <dataValidation type="decimal" allowBlank="1" showInputMessage="1" showErrorMessage="1" sqref="F21:F30" xr:uid="{00000000-0002-0000-0600-000002000000}">
      <formula1>1</formula1>
      <formula2>5</formula2>
    </dataValidation>
    <dataValidation type="decimal" allowBlank="1" showInputMessage="1" showErrorMessage="1" sqref="F76:F81 F41:F50" xr:uid="{00000000-0002-0000-0600-000003000000}">
      <formula1>0</formula1>
      <formula2>7</formula2>
    </dataValidation>
    <dataValidation type="decimal" allowBlank="1" showInputMessage="1" showErrorMessage="1" sqref="F87:F92 F56:F65" xr:uid="{00000000-0002-0000-0600-000004000000}">
      <formula1>0</formula1>
      <formula2>5</formula2>
    </dataValidation>
    <dataValidation type="whole" allowBlank="1" showInputMessage="1" showErrorMessage="1" sqref="I3:J3 I18:J18 I38:J38 I53:J53 I73:J73 I84:J84" xr:uid="{A7A1F9A2-6C68-E74B-A07C-CE7EF8FAE321}">
      <formula1>1</formula1>
      <formula2>7</formula2>
    </dataValidation>
  </dataValidations>
  <printOptions horizontalCentered="1"/>
  <pageMargins left="0.67" right="0.67" top="0.98" bottom="0.83" header="0.51" footer="0.51"/>
  <pageSetup paperSize="9" scale="83" orientation="portrait" horizontalDpi="4294967292" verticalDpi="4294967292"/>
  <headerFooter alignWithMargins="0">
    <oddHeader>&amp;C&amp;"Arial,Fed"&amp;12Skolepenge og øvrige indtægter</oddHeader>
    <oddFooter>&amp;L&amp;G&amp;R
&amp;D
&amp;A</oddFooter>
  </headerFooter>
  <rowBreaks count="3" manualBreakCount="3">
    <brk id="35" max="16383" man="1"/>
    <brk id="70" max="16383" man="1"/>
    <brk id="94" max="16383" man="1"/>
  </rowBreaks>
  <colBreaks count="1" manualBreakCount="1">
    <brk id="10" max="1048575" man="1"/>
  </colBreaks>
  <drawing r:id="rId1"/>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cbfc649-0545-43cf-929e-150f880045c6" xsi:nil="true"/>
    <lcf76f155ced4ddcb4097134ff3c332f xmlns="b543af4c-db40-44d3-9eea-8ef5fc2fd70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739C9C628925914784D52CBF788A3E24" ma:contentTypeVersion="18" ma:contentTypeDescription="Opret et nyt dokument." ma:contentTypeScope="" ma:versionID="87c53eaf4ef7486896c05085d8dd8983">
  <xsd:schema xmlns:xsd="http://www.w3.org/2001/XMLSchema" xmlns:xs="http://www.w3.org/2001/XMLSchema" xmlns:p="http://schemas.microsoft.com/office/2006/metadata/properties" xmlns:ns2="b543af4c-db40-44d3-9eea-8ef5fc2fd706" xmlns:ns3="6cbfc649-0545-43cf-929e-150f880045c6" targetNamespace="http://schemas.microsoft.com/office/2006/metadata/properties" ma:root="true" ma:fieldsID="0d311ed3a3eb899b456f51cb44174074" ns2:_="" ns3:_="">
    <xsd:import namespace="b543af4c-db40-44d3-9eea-8ef5fc2fd706"/>
    <xsd:import namespace="6cbfc649-0545-43cf-929e-150f880045c6"/>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2:MediaServiceLocatio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543af4c-db40-44d3-9eea-8ef5fc2fd7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ledmærker" ma:readOnly="false" ma:fieldId="{5cf76f15-5ced-4ddc-b409-7134ff3c332f}" ma:taxonomyMulti="true" ma:sspId="0c0fb87b-caf2-4492-a8cb-ec515077b0d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cbfc649-0545-43cf-929e-150f880045c6" elementFormDefault="qualified">
    <xsd:import namespace="http://schemas.microsoft.com/office/2006/documentManagement/types"/>
    <xsd:import namespace="http://schemas.microsoft.com/office/infopath/2007/PartnerControls"/>
    <xsd:element name="SharedWithUsers" ma:index="18"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t med detaljer" ma:internalName="SharedWithDetails" ma:readOnly="true">
      <xsd:simpleType>
        <xsd:restriction base="dms:Note">
          <xsd:maxLength value="255"/>
        </xsd:restriction>
      </xsd:simpleType>
    </xsd:element>
    <xsd:element name="TaxCatchAll" ma:index="23" nillable="true" ma:displayName="Taxonomy Catch All Column" ma:hidden="true" ma:list="{1b769e7c-0749-43c4-83a9-8421274fa14d}" ma:internalName="TaxCatchAll" ma:showField="CatchAllData" ma:web="6cbfc649-0545-43cf-929e-150f880045c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E72784A-FF73-42CB-9478-7A41D0AF86D0}">
  <ds:schemaRefs>
    <ds:schemaRef ds:uri="http://schemas.microsoft.com/office/2006/metadata/properties"/>
    <ds:schemaRef ds:uri="http://schemas.microsoft.com/office/infopath/2007/PartnerControls"/>
    <ds:schemaRef ds:uri="6cbfc649-0545-43cf-929e-150f880045c6"/>
    <ds:schemaRef ds:uri="b543af4c-db40-44d3-9eea-8ef5fc2fd706"/>
  </ds:schemaRefs>
</ds:datastoreItem>
</file>

<file path=customXml/itemProps2.xml><?xml version="1.0" encoding="utf-8"?>
<ds:datastoreItem xmlns:ds="http://schemas.openxmlformats.org/officeDocument/2006/customXml" ds:itemID="{E88F44F8-B2C2-44AF-AD3A-A67A1410BC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543af4c-db40-44d3-9eea-8ef5fc2fd706"/>
    <ds:schemaRef ds:uri="6cbfc649-0545-43cf-929e-150f880045c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0649D8B-2C9C-417C-A746-FDE496471E5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Regneark</vt:lpstr>
      </vt:variant>
      <vt:variant>
        <vt:i4>25</vt:i4>
      </vt:variant>
      <vt:variant>
        <vt:lpstr>Navngivne områder</vt:lpstr>
      </vt:variant>
      <vt:variant>
        <vt:i4>95</vt:i4>
      </vt:variant>
    </vt:vector>
  </HeadingPairs>
  <TitlesOfParts>
    <vt:vector size="120" baseType="lpstr">
      <vt:lpstr>Kvikvejledning</vt:lpstr>
      <vt:lpstr>Ændringer i dette budget</vt:lpstr>
      <vt:lpstr>Gode råd til check</vt:lpstr>
      <vt:lpstr>SatsBilag</vt:lpstr>
      <vt:lpstr>Forside</vt:lpstr>
      <vt:lpstr>Hovedskema</vt:lpstr>
      <vt:lpstr>Aarsnorm</vt:lpstr>
      <vt:lpstr>Statstilskud</vt:lpstr>
      <vt:lpstr>Skolepenge, pasningsordning.</vt:lpstr>
      <vt:lpstr>lon undervisning</vt:lpstr>
      <vt:lpstr>Lon pæd., TAP mm</vt:lpstr>
      <vt:lpstr>Undervisning-SFO udgifter</vt:lpstr>
      <vt:lpstr>Heltids SFO</vt:lpstr>
      <vt:lpstr>Daginstitution</vt:lpstr>
      <vt:lpstr>Ejendom</vt:lpstr>
      <vt:lpstr>Skolemadsordning</vt:lpstr>
      <vt:lpstr>Administration</vt:lpstr>
      <vt:lpstr>Prio-renter</vt:lpstr>
      <vt:lpstr>Resultat </vt:lpstr>
      <vt:lpstr>Grundlon</vt:lpstr>
      <vt:lpstr>Prognose</vt:lpstr>
      <vt:lpstr>Ark1</vt:lpstr>
      <vt:lpstr>H2.Aktuel år</vt:lpstr>
      <vt:lpstr>Ark2</vt:lpstr>
      <vt:lpstr>Ark3</vt:lpstr>
      <vt:lpstr>'Lon pæd., TAP mm'!_Udskriftsområde</vt:lpstr>
      <vt:lpstr>'lon undervisning'!_Udskriftsområde</vt:lpstr>
      <vt:lpstr>AER</vt:lpstr>
      <vt:lpstr>AER_1</vt:lpstr>
      <vt:lpstr>ATP</vt:lpstr>
      <vt:lpstr>ATP_1</vt:lpstr>
      <vt:lpstr>BarselBidr</vt:lpstr>
      <vt:lpstr>BarselBidr_1</vt:lpstr>
      <vt:lpstr>basistabel</vt:lpstr>
      <vt:lpstr>budgetår</vt:lpstr>
      <vt:lpstr>Bygtilsk</vt:lpstr>
      <vt:lpstr>Bygtilsk_1</vt:lpstr>
      <vt:lpstr>Da2sprTax</vt:lpstr>
      <vt:lpstr>Da2sprTax_1</vt:lpstr>
      <vt:lpstr>DFkont</vt:lpstr>
      <vt:lpstr>DFkont_1</vt:lpstr>
      <vt:lpstr>elev10kl</vt:lpstr>
      <vt:lpstr>elev10kl_1</vt:lpstr>
      <vt:lpstr>elev10kl_2</vt:lpstr>
      <vt:lpstr>elev10klfeb</vt:lpstr>
      <vt:lpstr>elev10klfeb_1</vt:lpstr>
      <vt:lpstr>elev10klfeb_2</vt:lpstr>
      <vt:lpstr>elevo13</vt:lpstr>
      <vt:lpstr>elevo13_1</vt:lpstr>
      <vt:lpstr>elevo13_2</vt:lpstr>
      <vt:lpstr>ELEVPROGNOSE</vt:lpstr>
      <vt:lpstr>Elevtal</vt:lpstr>
      <vt:lpstr>elevtal_1</vt:lpstr>
      <vt:lpstr>elevtal_2</vt:lpstr>
      <vt:lpstr>elevu13</vt:lpstr>
      <vt:lpstr>elevu13_1</vt:lpstr>
      <vt:lpstr>elevu13_2</vt:lpstr>
      <vt:lpstr>Grundlon!Export_file</vt:lpstr>
      <vt:lpstr>FaeUdgSmaa</vt:lpstr>
      <vt:lpstr>FaeUdgSmaa_1</vt:lpstr>
      <vt:lpstr>FaeUdgStore</vt:lpstr>
      <vt:lpstr>FaeUdgStore_1</vt:lpstr>
      <vt:lpstr>FlexBidr</vt:lpstr>
      <vt:lpstr>FlexBidr_1</vt:lpstr>
      <vt:lpstr>FlydTill</vt:lpstr>
      <vt:lpstr>FlydTill_1</vt:lpstr>
      <vt:lpstr>fremskrivning</vt:lpstr>
      <vt:lpstr>FremskrStatst</vt:lpstr>
      <vt:lpstr>FremskrStatst_1</vt:lpstr>
      <vt:lpstr>Gr.liv</vt:lpstr>
      <vt:lpstr>Gr.liv_1</vt:lpstr>
      <vt:lpstr>Gr.livAndre</vt:lpstr>
      <vt:lpstr>Gr.livAndre_1</vt:lpstr>
      <vt:lpstr>GrundTilsk</vt:lpstr>
      <vt:lpstr>Grundtilsk_1</vt:lpstr>
      <vt:lpstr>InklGrund</vt:lpstr>
      <vt:lpstr>InklGrund_1</vt:lpstr>
      <vt:lpstr>Lønfremskivning</vt:lpstr>
      <vt:lpstr>mellemsmå</vt:lpstr>
      <vt:lpstr>mellemstore</vt:lpstr>
      <vt:lpstr>omraadetabel</vt:lpstr>
      <vt:lpstr>PrakMedhTax</vt:lpstr>
      <vt:lpstr>PrakMedhTax_1</vt:lpstr>
      <vt:lpstr>Prc</vt:lpstr>
      <vt:lpstr>Prc_1</vt:lpstr>
      <vt:lpstr>PrcAar</vt:lpstr>
      <vt:lpstr>PrcAar_1</vt:lpstr>
      <vt:lpstr>region</vt:lpstr>
      <vt:lpstr>SFOtilsk</vt:lpstr>
      <vt:lpstr>SFOtilsk_1</vt:lpstr>
      <vt:lpstr>skalalontabel</vt:lpstr>
      <vt:lpstr>skole</vt:lpstr>
      <vt:lpstr>SatsBilag!skoleår</vt:lpstr>
      <vt:lpstr>SatsBilag!skoleår2</vt:lpstr>
      <vt:lpstr>sted</vt:lpstr>
      <vt:lpstr>Tilsyn1</vt:lpstr>
      <vt:lpstr>Tilsyn2</vt:lpstr>
      <vt:lpstr>Tilsyn3</vt:lpstr>
      <vt:lpstr>Tilsyn4</vt:lpstr>
      <vt:lpstr>Ejendom!Udskriftsområde</vt:lpstr>
      <vt:lpstr>Forside!Udskriftsområde</vt:lpstr>
      <vt:lpstr>'H2.Aktuel år'!Udskriftsområde</vt:lpstr>
      <vt:lpstr>Hovedskema!Udskriftsområde</vt:lpstr>
      <vt:lpstr>Kvikvejledning!Udskriftsområde</vt:lpstr>
      <vt:lpstr>'lon undervisning'!Udskriftsområde</vt:lpstr>
      <vt:lpstr>'Prio-renter'!Udskriftsområde</vt:lpstr>
      <vt:lpstr>Prognose!Udskriftsområde</vt:lpstr>
      <vt:lpstr>'Resultat '!Udskriftsområde</vt:lpstr>
      <vt:lpstr>SatsBilag!Udskriftsområde</vt:lpstr>
      <vt:lpstr>'Skolepenge, pasningsordning.'!Udskriftsområde</vt:lpstr>
      <vt:lpstr>Statstilskud!Udskriftsområde</vt:lpstr>
      <vt:lpstr>'Undervisning-SFO udgifter'!Udskriftsområde</vt:lpstr>
      <vt:lpstr>UvTax10kl</vt:lpstr>
      <vt:lpstr>UvTax10kl_1</vt:lpstr>
      <vt:lpstr>UvTaxO13</vt:lpstr>
      <vt:lpstr>UvTaxO13_1</vt:lpstr>
      <vt:lpstr>UvTaxU13</vt:lpstr>
      <vt:lpstr>UvTaxU13_1</vt:lpstr>
      <vt:lpstr>Vik.kas</vt:lpstr>
      <vt:lpstr>Vik.kas_1</vt:lpstr>
    </vt:vector>
  </TitlesOfParts>
  <Manager/>
  <Company>Dansk Friskoleforening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Budget 2024-2025</dc:title>
  <dc:subject/>
  <dc:creator>Tove Dohn</dc:creator>
  <cp:keywords/>
  <dc:description/>
  <cp:lastModifiedBy>Tove Dohn</cp:lastModifiedBy>
  <cp:revision/>
  <dcterms:created xsi:type="dcterms:W3CDTF">2010-02-07T12:40:03Z</dcterms:created>
  <dcterms:modified xsi:type="dcterms:W3CDTF">2025-10-10T07:46:55Z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0x010100739C9C628925914784D52CBF788A3E24</vt:lpwstr>
  </property>
  <property fmtid="{D5CDD505-2E9C-101B-9397-08002B2CF9AE}" pid="3" name="MediaServiceImageTags">
    <vt:lpwstr/>
  </property>
</Properties>
</file>